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#01 - CIA\Professional Practice\PC\Ed Notes\P &amp; C Fall Letter\2015\"/>
    </mc:Choice>
  </mc:AlternateContent>
  <xr:revisionPtr revIDLastSave="0" documentId="13_ncr:1_{3CA5BAA5-79CA-4C76-B9B4-32440B79A4F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ctif" sheetId="10" r:id="rId1"/>
    <sheet name="Pas. sin. &amp; prim. par branche " sheetId="8" r:id="rId2"/>
    <sheet name="Risque taux intérêt" sheetId="9" r:id="rId3"/>
  </sheets>
  <definedNames>
    <definedName name="_xlnm.Print_Area" localSheetId="2">'Risque taux intérêt'!$A$1:$G$40</definedName>
    <definedName name="_xlnm.Print_Titles" localSheetId="1">'Pas. sin. &amp; prim. par branche 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95" i="8" l="1"/>
  <c r="C18" i="9" l="1"/>
  <c r="B72" i="8"/>
  <c r="B57" i="8"/>
  <c r="A8" i="8"/>
  <c r="A9" i="8" s="1"/>
  <c r="A10" i="8" s="1"/>
  <c r="A11" i="8" s="1"/>
  <c r="B75" i="10"/>
  <c r="B74" i="10"/>
  <c r="B73" i="10"/>
  <c r="B57" i="10"/>
  <c r="C57" i="10" s="1"/>
  <c r="B56" i="10"/>
  <c r="C56" i="10" s="1"/>
  <c r="D47" i="10"/>
  <c r="D46" i="10"/>
  <c r="B43" i="10"/>
  <c r="C43" i="10" s="1"/>
  <c r="D34" i="10"/>
  <c r="D33" i="10"/>
  <c r="D32" i="10"/>
  <c r="B30" i="10"/>
  <c r="C30" i="10" s="1"/>
  <c r="E23" i="10"/>
  <c r="D60" i="10" s="1"/>
  <c r="E21" i="10"/>
  <c r="D58" i="10" s="1"/>
  <c r="D21" i="10"/>
  <c r="D45" i="10" s="1"/>
  <c r="A20" i="10"/>
  <c r="A21" i="10" s="1"/>
  <c r="E18" i="10"/>
  <c r="D18" i="10"/>
  <c r="C18" i="10"/>
  <c r="E11" i="10"/>
  <c r="E22" i="10" s="1"/>
  <c r="D59" i="10" s="1"/>
  <c r="D11" i="10"/>
  <c r="D20" i="10" s="1"/>
  <c r="D44" i="10" s="1"/>
  <c r="C11" i="10"/>
  <c r="C19" i="10" s="1"/>
  <c r="D30" i="10" s="1"/>
  <c r="D5" i="10"/>
  <c r="E5" i="10" s="1"/>
  <c r="B31" i="10" l="1"/>
  <c r="C31" i="10" s="1"/>
  <c r="C20" i="10"/>
  <c r="D31" i="10" s="1"/>
  <c r="C25" i="9"/>
  <c r="B58" i="10"/>
  <c r="C58" i="10" s="1"/>
  <c r="B32" i="10"/>
  <c r="C32" i="10" s="1"/>
  <c r="A22" i="10"/>
  <c r="B45" i="10"/>
  <c r="C45" i="10" s="1"/>
  <c r="D19" i="10"/>
  <c r="B76" i="10"/>
  <c r="E19" i="10"/>
  <c r="E20" i="10"/>
  <c r="D57" i="10" s="1"/>
  <c r="B44" i="10"/>
  <c r="C44" i="10" s="1"/>
  <c r="C12" i="10" l="1"/>
  <c r="C13" i="10" s="1"/>
  <c r="A32" i="10" s="1"/>
  <c r="I32" i="10" s="1"/>
  <c r="K32" i="10" s="1"/>
  <c r="B46" i="10"/>
  <c r="C46" i="10" s="1"/>
  <c r="B33" i="10"/>
  <c r="C33" i="10" s="1"/>
  <c r="B59" i="10"/>
  <c r="C59" i="10" s="1"/>
  <c r="A23" i="10"/>
  <c r="E12" i="10"/>
  <c r="E13" i="10" s="1"/>
  <c r="A58" i="10" s="1"/>
  <c r="D56" i="10"/>
  <c r="D43" i="10"/>
  <c r="D12" i="10"/>
  <c r="D13" i="10" s="1"/>
  <c r="A45" i="10" s="1"/>
  <c r="E32" i="10" l="1"/>
  <c r="F32" i="10" s="1"/>
  <c r="G32" i="10" s="1"/>
  <c r="I45" i="10"/>
  <c r="H45" i="10"/>
  <c r="I43" i="10"/>
  <c r="K43" i="10" s="1"/>
  <c r="H43" i="10"/>
  <c r="H47" i="10"/>
  <c r="H46" i="10"/>
  <c r="I44" i="10"/>
  <c r="H44" i="10"/>
  <c r="J44" i="10" s="1"/>
  <c r="I47" i="10"/>
  <c r="I46" i="10"/>
  <c r="K46" i="10" s="1"/>
  <c r="H34" i="10"/>
  <c r="I59" i="10"/>
  <c r="K59" i="10" s="1"/>
  <c r="H58" i="10"/>
  <c r="J58" i="10" s="1"/>
  <c r="H57" i="10"/>
  <c r="J57" i="10" s="1"/>
  <c r="H56" i="10"/>
  <c r="H59" i="10"/>
  <c r="J59" i="10" s="1"/>
  <c r="I58" i="10"/>
  <c r="I57" i="10"/>
  <c r="K57" i="10" s="1"/>
  <c r="I56" i="10"/>
  <c r="K56" i="10" s="1"/>
  <c r="H33" i="10"/>
  <c r="J33" i="10" s="1"/>
  <c r="I31" i="10"/>
  <c r="K31" i="10" s="1"/>
  <c r="H32" i="10"/>
  <c r="J32" i="10" s="1"/>
  <c r="I34" i="10"/>
  <c r="E33" i="10"/>
  <c r="F33" i="10" s="1"/>
  <c r="G33" i="10" s="1"/>
  <c r="E31" i="10"/>
  <c r="F31" i="10" s="1"/>
  <c r="G31" i="10" s="1"/>
  <c r="I33" i="10"/>
  <c r="K33" i="10" s="1"/>
  <c r="I30" i="10"/>
  <c r="K30" i="10" s="1"/>
  <c r="E30" i="10"/>
  <c r="F30" i="10" s="1"/>
  <c r="G30" i="10" s="1"/>
  <c r="H31" i="10"/>
  <c r="J31" i="10" s="1"/>
  <c r="H30" i="10"/>
  <c r="J30" i="10" s="1"/>
  <c r="E57" i="10"/>
  <c r="F57" i="10" s="1"/>
  <c r="G57" i="10" s="1"/>
  <c r="K58" i="10"/>
  <c r="E58" i="10"/>
  <c r="F58" i="10" s="1"/>
  <c r="G58" i="10" s="1"/>
  <c r="E59" i="10"/>
  <c r="F59" i="10" s="1"/>
  <c r="G59" i="10" s="1"/>
  <c r="E56" i="10"/>
  <c r="F56" i="10" s="1"/>
  <c r="G46" i="10"/>
  <c r="B60" i="10"/>
  <c r="C60" i="10" s="1"/>
  <c r="E60" i="10" s="1"/>
  <c r="F60" i="10" s="1"/>
  <c r="B34" i="10"/>
  <c r="C34" i="10" s="1"/>
  <c r="B47" i="10"/>
  <c r="C47" i="10" s="1"/>
  <c r="J45" i="10"/>
  <c r="E43" i="10"/>
  <c r="K45" i="10"/>
  <c r="E46" i="10"/>
  <c r="F46" i="10" s="1"/>
  <c r="J43" i="10"/>
  <c r="J46" i="10"/>
  <c r="E44" i="10"/>
  <c r="F44" i="10" s="1"/>
  <c r="G44" i="10" s="1"/>
  <c r="E45" i="10"/>
  <c r="F45" i="10" s="1"/>
  <c r="G45" i="10" s="1"/>
  <c r="K44" i="10"/>
  <c r="E47" i="10"/>
  <c r="F47" i="10" s="1"/>
  <c r="F43" i="10"/>
  <c r="J56" i="10"/>
  <c r="I60" i="10" l="1"/>
  <c r="K60" i="10" s="1"/>
  <c r="J47" i="10"/>
  <c r="H60" i="10"/>
  <c r="J60" i="10" s="1"/>
  <c r="K61" i="10"/>
  <c r="J48" i="10"/>
  <c r="F48" i="10"/>
  <c r="G43" i="10"/>
  <c r="K47" i="10"/>
  <c r="K49" i="10" s="1"/>
  <c r="D74" i="10" s="1"/>
  <c r="G60" i="10"/>
  <c r="G47" i="10"/>
  <c r="J34" i="10"/>
  <c r="E34" i="10"/>
  <c r="F34" i="10" s="1"/>
  <c r="F35" i="10" s="1"/>
  <c r="K34" i="10"/>
  <c r="K35" i="10" s="1"/>
  <c r="F61" i="10"/>
  <c r="G56" i="10"/>
  <c r="J61" i="10" l="1"/>
  <c r="K62" i="10"/>
  <c r="D75" i="10" s="1"/>
  <c r="G61" i="10"/>
  <c r="G62" i="10"/>
  <c r="G34" i="10"/>
  <c r="G49" i="10"/>
  <c r="G48" i="10"/>
  <c r="K48" i="10"/>
  <c r="J35" i="10"/>
  <c r="K36" i="10"/>
  <c r="D73" i="10" s="1"/>
  <c r="D76" i="10" s="1"/>
  <c r="G50" i="10" l="1"/>
  <c r="C74" i="10" s="1"/>
  <c r="G63" i="10"/>
  <c r="C75" i="10" s="1"/>
  <c r="G36" i="10"/>
  <c r="G35" i="10"/>
  <c r="G37" i="10" l="1"/>
  <c r="C73" i="10" s="1"/>
  <c r="C76" i="10" s="1"/>
  <c r="D18" i="9" s="1"/>
  <c r="D196" i="8"/>
  <c r="F18" i="9" l="1"/>
  <c r="F25" i="9" s="1"/>
  <c r="E18" i="9"/>
  <c r="E25" i="9" s="1"/>
  <c r="D95" i="8"/>
  <c r="B194" i="8" l="1"/>
  <c r="B193" i="8"/>
  <c r="C178" i="8"/>
  <c r="C177" i="8"/>
  <c r="C176" i="8"/>
  <c r="C175" i="8"/>
  <c r="C174" i="8"/>
  <c r="C173" i="8"/>
  <c r="C172" i="8"/>
  <c r="A172" i="8"/>
  <c r="A173" i="8" s="1"/>
  <c r="A174" i="8" s="1"/>
  <c r="A175" i="8" s="1"/>
  <c r="A176" i="8" s="1"/>
  <c r="A177" i="8" s="1"/>
  <c r="A178" i="8" s="1"/>
  <c r="A156" i="8"/>
  <c r="A157" i="8" s="1"/>
  <c r="A158" i="8" s="1"/>
  <c r="A159" i="8" s="1"/>
  <c r="A160" i="8" s="1"/>
  <c r="A161" i="8" s="1"/>
  <c r="A162" i="8" s="1"/>
  <c r="B94" i="8" l="1"/>
  <c r="B93" i="8"/>
  <c r="A73" i="8"/>
  <c r="B73" i="8" s="1"/>
  <c r="H72" i="8"/>
  <c r="A140" i="8"/>
  <c r="A141" i="8" s="1"/>
  <c r="A142" i="8" s="1"/>
  <c r="A143" i="8" s="1"/>
  <c r="A144" i="8" s="1"/>
  <c r="A145" i="8" s="1"/>
  <c r="A146" i="8" s="1"/>
  <c r="H136" i="8"/>
  <c r="B136" i="8"/>
  <c r="B128" i="8"/>
  <c r="G110" i="8"/>
  <c r="E110" i="8"/>
  <c r="B104" i="8"/>
  <c r="A104" i="8"/>
  <c r="A105" i="8" s="1"/>
  <c r="A106" i="8" s="1"/>
  <c r="A107" i="8" s="1"/>
  <c r="A108" i="8" s="1"/>
  <c r="A109" i="8" s="1"/>
  <c r="A110" i="8" s="1"/>
  <c r="C103" i="8"/>
  <c r="E100" i="8"/>
  <c r="B127" i="8" s="1"/>
  <c r="E99" i="8"/>
  <c r="B126" i="8" s="1"/>
  <c r="A58" i="8"/>
  <c r="H57" i="8"/>
  <c r="B43" i="8"/>
  <c r="H43" i="8" s="1"/>
  <c r="A43" i="8"/>
  <c r="C38" i="8" s="1"/>
  <c r="C125" i="8" s="1"/>
  <c r="D125" i="8" s="1"/>
  <c r="E125" i="8" s="1"/>
  <c r="F125" i="8" s="1"/>
  <c r="G125" i="8" s="1"/>
  <c r="H125" i="8" s="1"/>
  <c r="I125" i="8" s="1"/>
  <c r="J125" i="8" s="1"/>
  <c r="B42" i="8"/>
  <c r="H42" i="8" s="1"/>
  <c r="A42" i="8"/>
  <c r="B41" i="8"/>
  <c r="D41" i="8" s="1"/>
  <c r="A41" i="8"/>
  <c r="B40" i="8"/>
  <c r="D40" i="8" s="1"/>
  <c r="A40" i="8"/>
  <c r="B39" i="8"/>
  <c r="A39" i="8"/>
  <c r="B29" i="8"/>
  <c r="H29" i="8" s="1"/>
  <c r="A29" i="8"/>
  <c r="C24" i="8" s="1"/>
  <c r="D24" i="8" s="1"/>
  <c r="E24" i="8" s="1"/>
  <c r="F24" i="8" s="1"/>
  <c r="G24" i="8" s="1"/>
  <c r="H24" i="8" s="1"/>
  <c r="I24" i="8" s="1"/>
  <c r="B28" i="8"/>
  <c r="H28" i="8" s="1"/>
  <c r="A28" i="8"/>
  <c r="B27" i="8"/>
  <c r="A27" i="8"/>
  <c r="B26" i="8"/>
  <c r="A26" i="8"/>
  <c r="B25" i="8"/>
  <c r="A25" i="8"/>
  <c r="E8" i="8"/>
  <c r="E9" i="8" s="1"/>
  <c r="E10" i="8" s="1"/>
  <c r="E11" i="8" s="1"/>
  <c r="E12" i="8" s="1"/>
  <c r="E13" i="8" s="1"/>
  <c r="E14" i="8" s="1"/>
  <c r="B58" i="8" l="1"/>
  <c r="G58" i="8" s="1"/>
  <c r="B44" i="8"/>
  <c r="D38" i="8"/>
  <c r="E38" i="8" s="1"/>
  <c r="F38" i="8" s="1"/>
  <c r="G38" i="8" s="1"/>
  <c r="H38" i="8" s="1"/>
  <c r="I38" i="8" s="1"/>
  <c r="B152" i="8"/>
  <c r="B168" i="8" s="1"/>
  <c r="C43" i="8"/>
  <c r="C128" i="8"/>
  <c r="C171" i="8" s="1"/>
  <c r="H152" i="8"/>
  <c r="G72" i="8"/>
  <c r="H73" i="8"/>
  <c r="D73" i="8"/>
  <c r="G73" i="8"/>
  <c r="A74" i="8"/>
  <c r="B74" i="8" s="1"/>
  <c r="D72" i="8"/>
  <c r="G28" i="8"/>
  <c r="G43" i="8"/>
  <c r="C28" i="8"/>
  <c r="E43" i="8"/>
  <c r="I43" i="8"/>
  <c r="I44" i="8" s="1"/>
  <c r="C78" i="8" s="1"/>
  <c r="G57" i="8"/>
  <c r="I29" i="8"/>
  <c r="I30" i="8" s="1"/>
  <c r="C63" i="8" s="1"/>
  <c r="B30" i="8"/>
  <c r="E28" i="8"/>
  <c r="C29" i="8"/>
  <c r="G29" i="8"/>
  <c r="C39" i="8"/>
  <c r="C42" i="8"/>
  <c r="G42" i="8"/>
  <c r="E29" i="8"/>
  <c r="E39" i="8"/>
  <c r="E42" i="8"/>
  <c r="H30" i="8"/>
  <c r="C62" i="8" s="1"/>
  <c r="E40" i="8"/>
  <c r="C40" i="8"/>
  <c r="F40" i="8"/>
  <c r="G41" i="8"/>
  <c r="E41" i="8"/>
  <c r="C41" i="8"/>
  <c r="F41" i="8"/>
  <c r="H44" i="8"/>
  <c r="C77" i="8" s="1"/>
  <c r="A59" i="8"/>
  <c r="B59" i="8" s="1"/>
  <c r="H58" i="8"/>
  <c r="D58" i="8"/>
  <c r="B129" i="8"/>
  <c r="B139" i="8"/>
  <c r="C104" i="8"/>
  <c r="C105" i="8" s="1"/>
  <c r="C106" i="8" s="1"/>
  <c r="C107" i="8" s="1"/>
  <c r="C108" i="8" s="1"/>
  <c r="C109" i="8" s="1"/>
  <c r="C110" i="8" s="1"/>
  <c r="D28" i="8"/>
  <c r="F28" i="8"/>
  <c r="D29" i="8"/>
  <c r="F29" i="8"/>
  <c r="D39" i="8"/>
  <c r="D42" i="8"/>
  <c r="F42" i="8"/>
  <c r="D43" i="8"/>
  <c r="F43" i="8"/>
  <c r="D57" i="8"/>
  <c r="G103" i="8"/>
  <c r="C127" i="8" s="1"/>
  <c r="C155" i="8" s="1"/>
  <c r="B105" i="8"/>
  <c r="E103" i="8"/>
  <c r="C126" i="8" s="1"/>
  <c r="C139" i="8" s="1"/>
  <c r="E30" i="8" l="1"/>
  <c r="C59" i="8" s="1"/>
  <c r="G30" i="8"/>
  <c r="C61" i="8" s="1"/>
  <c r="H168" i="8"/>
  <c r="D139" i="8"/>
  <c r="B155" i="8"/>
  <c r="H139" i="8"/>
  <c r="G139" i="8"/>
  <c r="C30" i="8"/>
  <c r="C57" i="8" s="1"/>
  <c r="I57" i="8" s="1"/>
  <c r="A75" i="8"/>
  <c r="B75" i="8" s="1"/>
  <c r="D44" i="8"/>
  <c r="C73" i="8" s="1"/>
  <c r="C129" i="8"/>
  <c r="G44" i="8"/>
  <c r="C76" i="8" s="1"/>
  <c r="C44" i="8"/>
  <c r="C72" i="8" s="1"/>
  <c r="F30" i="8"/>
  <c r="C60" i="8" s="1"/>
  <c r="B140" i="8"/>
  <c r="B106" i="8"/>
  <c r="G104" i="8"/>
  <c r="D127" i="8" s="1"/>
  <c r="C156" i="8" s="1"/>
  <c r="E104" i="8"/>
  <c r="D126" i="8" s="1"/>
  <c r="C140" i="8" s="1"/>
  <c r="D30" i="8"/>
  <c r="C58" i="8" s="1"/>
  <c r="A60" i="8"/>
  <c r="B60" i="8" s="1"/>
  <c r="F44" i="8"/>
  <c r="C75" i="8" s="1"/>
  <c r="E44" i="8"/>
  <c r="C74" i="8" s="1"/>
  <c r="J57" i="8" l="1"/>
  <c r="I139" i="8"/>
  <c r="E57" i="8"/>
  <c r="F57" i="8" s="1"/>
  <c r="B171" i="8"/>
  <c r="B156" i="8"/>
  <c r="H155" i="8"/>
  <c r="J155" i="8" s="1"/>
  <c r="G155" i="8"/>
  <c r="I155" i="8" s="1"/>
  <c r="D155" i="8"/>
  <c r="E155" i="8" s="1"/>
  <c r="E139" i="8"/>
  <c r="C64" i="8"/>
  <c r="C79" i="8"/>
  <c r="J139" i="8"/>
  <c r="I73" i="8"/>
  <c r="E73" i="8"/>
  <c r="F73" i="8" s="1"/>
  <c r="J72" i="8"/>
  <c r="I72" i="8"/>
  <c r="E72" i="8"/>
  <c r="J73" i="8"/>
  <c r="A76" i="8"/>
  <c r="B76" i="8" s="1"/>
  <c r="H74" i="8"/>
  <c r="J74" i="8" s="1"/>
  <c r="D74" i="8"/>
  <c r="E74" i="8" s="1"/>
  <c r="F74" i="8" s="1"/>
  <c r="G74" i="8"/>
  <c r="I74" i="8" s="1"/>
  <c r="H59" i="8"/>
  <c r="J59" i="8" s="1"/>
  <c r="D59" i="8"/>
  <c r="E59" i="8" s="1"/>
  <c r="F59" i="8" s="1"/>
  <c r="G59" i="8"/>
  <c r="I59" i="8" s="1"/>
  <c r="D129" i="8"/>
  <c r="G105" i="8"/>
  <c r="E127" i="8" s="1"/>
  <c r="C157" i="8" s="1"/>
  <c r="B107" i="8"/>
  <c r="E105" i="8"/>
  <c r="E126" i="8" s="1"/>
  <c r="A61" i="8"/>
  <c r="B61" i="8" s="1"/>
  <c r="J58" i="8"/>
  <c r="I58" i="8"/>
  <c r="E58" i="8"/>
  <c r="F58" i="8" s="1"/>
  <c r="B141" i="8"/>
  <c r="D140" i="8"/>
  <c r="G140" i="8"/>
  <c r="H140" i="8"/>
  <c r="F155" i="8" l="1"/>
  <c r="F139" i="8"/>
  <c r="B157" i="8"/>
  <c r="G156" i="8"/>
  <c r="I156" i="8" s="1"/>
  <c r="H156" i="8"/>
  <c r="J156" i="8" s="1"/>
  <c r="D156" i="8"/>
  <c r="E156" i="8" s="1"/>
  <c r="F156" i="8" s="1"/>
  <c r="E129" i="8"/>
  <c r="C141" i="8"/>
  <c r="B172" i="8"/>
  <c r="H171" i="8"/>
  <c r="J171" i="8" s="1"/>
  <c r="D171" i="8"/>
  <c r="E171" i="8" s="1"/>
  <c r="G171" i="8"/>
  <c r="I171" i="8" s="1"/>
  <c r="F72" i="8"/>
  <c r="H75" i="8"/>
  <c r="J75" i="8" s="1"/>
  <c r="D75" i="8"/>
  <c r="E75" i="8" s="1"/>
  <c r="F75" i="8" s="1"/>
  <c r="G75" i="8"/>
  <c r="I75" i="8" s="1"/>
  <c r="A77" i="8"/>
  <c r="B77" i="8" s="1"/>
  <c r="B142" i="8"/>
  <c r="H141" i="8"/>
  <c r="D141" i="8"/>
  <c r="G141" i="8"/>
  <c r="H60" i="8"/>
  <c r="J60" i="8" s="1"/>
  <c r="D60" i="8"/>
  <c r="E60" i="8" s="1"/>
  <c r="F60" i="8" s="1"/>
  <c r="G60" i="8"/>
  <c r="I60" i="8" s="1"/>
  <c r="B108" i="8"/>
  <c r="E106" i="8"/>
  <c r="F126" i="8" s="1"/>
  <c r="C142" i="8" s="1"/>
  <c r="G106" i="8"/>
  <c r="F127" i="8" s="1"/>
  <c r="C158" i="8" s="1"/>
  <c r="I140" i="8"/>
  <c r="E140" i="8"/>
  <c r="F140" i="8" s="1"/>
  <c r="J140" i="8"/>
  <c r="A62" i="8"/>
  <c r="B62" i="8" s="1"/>
  <c r="E141" i="8" l="1"/>
  <c r="F141" i="8" s="1"/>
  <c r="F171" i="8"/>
  <c r="J141" i="8"/>
  <c r="I141" i="8"/>
  <c r="B173" i="8"/>
  <c r="H172" i="8"/>
  <c r="J172" i="8" s="1"/>
  <c r="D172" i="8"/>
  <c r="E172" i="8" s="1"/>
  <c r="F172" i="8" s="1"/>
  <c r="G172" i="8"/>
  <c r="I172" i="8" s="1"/>
  <c r="B158" i="8"/>
  <c r="D157" i="8"/>
  <c r="E157" i="8" s="1"/>
  <c r="F157" i="8" s="1"/>
  <c r="H157" i="8"/>
  <c r="J157" i="8" s="1"/>
  <c r="G157" i="8"/>
  <c r="I157" i="8" s="1"/>
  <c r="F129" i="8"/>
  <c r="H76" i="8"/>
  <c r="J76" i="8" s="1"/>
  <c r="D76" i="8"/>
  <c r="E76" i="8" s="1"/>
  <c r="F76" i="8" s="1"/>
  <c r="G76" i="8"/>
  <c r="I76" i="8" s="1"/>
  <c r="A78" i="8"/>
  <c r="B78" i="8" s="1"/>
  <c r="A63" i="8"/>
  <c r="B63" i="8" s="1"/>
  <c r="B143" i="8"/>
  <c r="H142" i="8"/>
  <c r="D142" i="8"/>
  <c r="E142" i="8" s="1"/>
  <c r="F142" i="8" s="1"/>
  <c r="G142" i="8"/>
  <c r="H61" i="8"/>
  <c r="J61" i="8" s="1"/>
  <c r="D61" i="8"/>
  <c r="E61" i="8" s="1"/>
  <c r="F61" i="8" s="1"/>
  <c r="G61" i="8"/>
  <c r="I61" i="8" s="1"/>
  <c r="G107" i="8"/>
  <c r="G127" i="8" s="1"/>
  <c r="C159" i="8" s="1"/>
  <c r="B109" i="8"/>
  <c r="E107" i="8"/>
  <c r="G126" i="8" s="1"/>
  <c r="H158" i="8" l="1"/>
  <c r="J158" i="8" s="1"/>
  <c r="G158" i="8"/>
  <c r="I158" i="8" s="1"/>
  <c r="B159" i="8"/>
  <c r="D158" i="8"/>
  <c r="E158" i="8" s="1"/>
  <c r="B174" i="8"/>
  <c r="D173" i="8"/>
  <c r="E173" i="8" s="1"/>
  <c r="F173" i="8" s="1"/>
  <c r="H173" i="8"/>
  <c r="J173" i="8" s="1"/>
  <c r="G173" i="8"/>
  <c r="I173" i="8" s="1"/>
  <c r="G129" i="8"/>
  <c r="C143" i="8"/>
  <c r="I142" i="8"/>
  <c r="J142" i="8"/>
  <c r="H77" i="8"/>
  <c r="J77" i="8" s="1"/>
  <c r="D77" i="8"/>
  <c r="E77" i="8" s="1"/>
  <c r="F77" i="8" s="1"/>
  <c r="G77" i="8"/>
  <c r="I77" i="8" s="1"/>
  <c r="H78" i="8"/>
  <c r="J78" i="8" s="1"/>
  <c r="D78" i="8"/>
  <c r="E78" i="8" s="1"/>
  <c r="F78" i="8" s="1"/>
  <c r="G78" i="8"/>
  <c r="I78" i="8" s="1"/>
  <c r="B144" i="8"/>
  <c r="D143" i="8"/>
  <c r="H143" i="8"/>
  <c r="G143" i="8"/>
  <c r="G62" i="8"/>
  <c r="I62" i="8" s="1"/>
  <c r="D62" i="8"/>
  <c r="E62" i="8" s="1"/>
  <c r="H62" i="8"/>
  <c r="J62" i="8" s="1"/>
  <c r="B110" i="8"/>
  <c r="E108" i="8"/>
  <c r="H126" i="8" s="1"/>
  <c r="G108" i="8"/>
  <c r="H127" i="8" s="1"/>
  <c r="C160" i="8" s="1"/>
  <c r="G63" i="8"/>
  <c r="I63" i="8" s="1"/>
  <c r="H63" i="8"/>
  <c r="J63" i="8" s="1"/>
  <c r="D63" i="8"/>
  <c r="E63" i="8" s="1"/>
  <c r="F63" i="8" s="1"/>
  <c r="J143" i="8" l="1"/>
  <c r="I64" i="8"/>
  <c r="F158" i="8"/>
  <c r="I143" i="8"/>
  <c r="E143" i="8"/>
  <c r="F143" i="8" s="1"/>
  <c r="H174" i="8"/>
  <c r="J174" i="8" s="1"/>
  <c r="G174" i="8"/>
  <c r="I174" i="8" s="1"/>
  <c r="B175" i="8"/>
  <c r="D174" i="8"/>
  <c r="E174" i="8" s="1"/>
  <c r="F174" i="8" s="1"/>
  <c r="G159" i="8"/>
  <c r="I159" i="8" s="1"/>
  <c r="H159" i="8"/>
  <c r="J159" i="8" s="1"/>
  <c r="B160" i="8"/>
  <c r="D159" i="8"/>
  <c r="E159" i="8" s="1"/>
  <c r="F159" i="8" s="1"/>
  <c r="H129" i="8"/>
  <c r="C144" i="8"/>
  <c r="I79" i="8"/>
  <c r="J79" i="8"/>
  <c r="F80" i="8"/>
  <c r="F81" i="8" s="1"/>
  <c r="F94" i="8" s="1"/>
  <c r="J64" i="8"/>
  <c r="F62" i="8"/>
  <c r="F65" i="8" s="1"/>
  <c r="F66" i="8" s="1"/>
  <c r="F93" i="8" s="1"/>
  <c r="E64" i="8"/>
  <c r="C93" i="8" s="1"/>
  <c r="E93" i="8" s="1"/>
  <c r="J80" i="8"/>
  <c r="G94" i="8" s="1"/>
  <c r="F79" i="8"/>
  <c r="E79" i="8"/>
  <c r="C94" i="8" s="1"/>
  <c r="E94" i="8" s="1"/>
  <c r="J65" i="8"/>
  <c r="G93" i="8" s="1"/>
  <c r="G109" i="8"/>
  <c r="E109" i="8"/>
  <c r="B145" i="8"/>
  <c r="H144" i="8"/>
  <c r="D144" i="8"/>
  <c r="E144" i="8" s="1"/>
  <c r="F144" i="8" s="1"/>
  <c r="G144" i="8"/>
  <c r="E95" i="8" l="1"/>
  <c r="G95" i="8" s="1"/>
  <c r="I144" i="8"/>
  <c r="J144" i="8"/>
  <c r="C95" i="8"/>
  <c r="B161" i="8"/>
  <c r="D160" i="8"/>
  <c r="E160" i="8" s="1"/>
  <c r="F160" i="8" s="1"/>
  <c r="G160" i="8"/>
  <c r="I160" i="8" s="1"/>
  <c r="H160" i="8"/>
  <c r="J160" i="8" s="1"/>
  <c r="B176" i="8"/>
  <c r="D175" i="8"/>
  <c r="E175" i="8" s="1"/>
  <c r="F175" i="8" s="1"/>
  <c r="H175" i="8"/>
  <c r="J175" i="8" s="1"/>
  <c r="G175" i="8"/>
  <c r="I175" i="8" s="1"/>
  <c r="F64" i="8"/>
  <c r="B146" i="8"/>
  <c r="G145" i="8"/>
  <c r="D145" i="8"/>
  <c r="H145" i="8"/>
  <c r="J126" i="8"/>
  <c r="C146" i="8" s="1"/>
  <c r="I126" i="8"/>
  <c r="C145" i="8" s="1"/>
  <c r="I127" i="8"/>
  <c r="C161" i="8" s="1"/>
  <c r="J127" i="8"/>
  <c r="C162" i="8" s="1"/>
  <c r="F95" i="8" l="1"/>
  <c r="D27" i="9" s="1"/>
  <c r="C27" i="9"/>
  <c r="F27" i="9" s="1"/>
  <c r="H176" i="8"/>
  <c r="J176" i="8" s="1"/>
  <c r="G176" i="8"/>
  <c r="I176" i="8" s="1"/>
  <c r="B177" i="8"/>
  <c r="D176" i="8"/>
  <c r="E176" i="8" s="1"/>
  <c r="F176" i="8" s="1"/>
  <c r="B162" i="8"/>
  <c r="D161" i="8"/>
  <c r="E161" i="8" s="1"/>
  <c r="F161" i="8" s="1"/>
  <c r="G161" i="8"/>
  <c r="I161" i="8" s="1"/>
  <c r="H161" i="8"/>
  <c r="J161" i="8" s="1"/>
  <c r="I129" i="8"/>
  <c r="I145" i="8" s="1"/>
  <c r="G146" i="8"/>
  <c r="D146" i="8"/>
  <c r="H146" i="8"/>
  <c r="J129" i="8"/>
  <c r="E27" i="9" l="1"/>
  <c r="H162" i="8"/>
  <c r="J162" i="8" s="1"/>
  <c r="J163" i="8" s="1"/>
  <c r="G162" i="8"/>
  <c r="I162" i="8" s="1"/>
  <c r="I163" i="8" s="1"/>
  <c r="D162" i="8"/>
  <c r="E162" i="8" s="1"/>
  <c r="H177" i="8"/>
  <c r="J177" i="8" s="1"/>
  <c r="G177" i="8"/>
  <c r="I177" i="8" s="1"/>
  <c r="B178" i="8"/>
  <c r="D177" i="8"/>
  <c r="E177" i="8" s="1"/>
  <c r="F177" i="8" s="1"/>
  <c r="E145" i="8"/>
  <c r="J145" i="8"/>
  <c r="I146" i="8"/>
  <c r="I147" i="8" s="1"/>
  <c r="E146" i="8"/>
  <c r="F146" i="8" s="1"/>
  <c r="J146" i="8"/>
  <c r="J147" i="8" l="1"/>
  <c r="F162" i="8"/>
  <c r="E163" i="8"/>
  <c r="C194" i="8" s="1"/>
  <c r="E194" i="8" s="1"/>
  <c r="F145" i="8"/>
  <c r="E147" i="8"/>
  <c r="C193" i="8" s="1"/>
  <c r="E193" i="8" s="1"/>
  <c r="J164" i="8"/>
  <c r="G194" i="8" s="1"/>
  <c r="J148" i="8"/>
  <c r="G193" i="8" s="1"/>
  <c r="H178" i="8"/>
  <c r="J178" i="8" s="1"/>
  <c r="J179" i="8" s="1"/>
  <c r="G178" i="8"/>
  <c r="I178" i="8" s="1"/>
  <c r="I179" i="8" s="1"/>
  <c r="D178" i="8"/>
  <c r="E178" i="8" s="1"/>
  <c r="F178" i="8" l="1"/>
  <c r="E179" i="8"/>
  <c r="C195" i="8" s="1"/>
  <c r="F164" i="8"/>
  <c r="F165" i="8" s="1"/>
  <c r="F194" i="8" s="1"/>
  <c r="F163" i="8"/>
  <c r="F147" i="8"/>
  <c r="F148" i="8"/>
  <c r="F149" i="8" s="1"/>
  <c r="F193" i="8" s="1"/>
  <c r="J180" i="8"/>
  <c r="G195" i="8" s="1"/>
  <c r="C196" i="8" l="1"/>
  <c r="E195" i="8"/>
  <c r="F179" i="8"/>
  <c r="F180" i="8"/>
  <c r="F181" i="8" s="1"/>
  <c r="F195" i="8" s="1"/>
  <c r="E196" i="8" l="1"/>
  <c r="C28" i="9" s="1"/>
  <c r="C30" i="9" l="1"/>
  <c r="F196" i="8"/>
  <c r="D28" i="9" s="1"/>
  <c r="E28" i="9" s="1"/>
  <c r="G196" i="8"/>
  <c r="F28" i="9" l="1"/>
  <c r="E30" i="9"/>
  <c r="E36" i="9" s="1"/>
  <c r="F38" i="9" s="1"/>
  <c r="F30" i="9" l="1"/>
  <c r="F37" i="9" s="1"/>
</calcChain>
</file>

<file path=xl/sharedStrings.xml><?xml version="1.0" encoding="utf-8"?>
<sst xmlns="http://schemas.openxmlformats.org/spreadsheetml/2006/main" count="435" uniqueCount="200">
  <si>
    <t>Description</t>
  </si>
  <si>
    <t>Coupon $</t>
  </si>
  <si>
    <t>Total</t>
  </si>
  <si>
    <t>etc.</t>
  </si>
  <si>
    <t>(1)</t>
  </si>
  <si>
    <t>(2)</t>
  </si>
  <si>
    <t>(3)</t>
  </si>
  <si>
    <t>(4)</t>
  </si>
  <si>
    <t>(5)</t>
  </si>
  <si>
    <t>(6)</t>
  </si>
  <si>
    <t>(9)</t>
  </si>
  <si>
    <t>(10)</t>
  </si>
  <si>
    <t>(11)</t>
  </si>
  <si>
    <t>(12)</t>
  </si>
  <si>
    <t>Duration</t>
  </si>
  <si>
    <t>(01)</t>
  </si>
  <si>
    <t>(02)</t>
  </si>
  <si>
    <t>B</t>
  </si>
  <si>
    <t>(03)</t>
  </si>
  <si>
    <t>(04)</t>
  </si>
  <si>
    <r>
      <t>i</t>
    </r>
    <r>
      <rPr>
        <vertAlign val="subscript"/>
        <sz val="11"/>
        <rFont val="Calibri"/>
        <family val="2"/>
        <scheme val="minor"/>
      </rPr>
      <t>(2)</t>
    </r>
  </si>
  <si>
    <t>30.66</t>
  </si>
  <si>
    <t>(55)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</si>
  <si>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</si>
  <si>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</si>
  <si>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</si>
  <si>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</si>
  <si>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</si>
  <si>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</si>
  <si>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</si>
  <si>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</si>
  <si>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</si>
  <si>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</si>
  <si>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</si>
  <si>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</si>
  <si>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19</t>
  </si>
  <si>
    <t>(05)</t>
  </si>
  <si>
    <t>(06)</t>
  </si>
  <si>
    <t>(07)</t>
  </si>
  <si>
    <t>20</t>
  </si>
  <si>
    <t>21</t>
  </si>
  <si>
    <t>29</t>
  </si>
  <si>
    <t>30</t>
  </si>
  <si>
    <t>31</t>
  </si>
  <si>
    <t>39</t>
  </si>
  <si>
    <t>Duration des éléments d'actif</t>
  </si>
  <si>
    <t>Annexe</t>
  </si>
  <si>
    <t>Feuille</t>
  </si>
  <si>
    <t>Information de fin d'exercice</t>
  </si>
  <si>
    <t>Obligation #1</t>
  </si>
  <si>
    <t xml:space="preserve"> Obligation #2</t>
  </si>
  <si>
    <t>Obligation #3</t>
  </si>
  <si>
    <t>Date d'évaluation</t>
  </si>
  <si>
    <t>Date d'échéance</t>
  </si>
  <si>
    <t>Valeur nominale</t>
  </si>
  <si>
    <t>Valeur marchande</t>
  </si>
  <si>
    <r>
      <t>Rendement annuel</t>
    </r>
    <r>
      <rPr>
        <sz val="11"/>
        <rFont val="Calibri"/>
        <family val="2"/>
        <scheme val="minor"/>
      </rPr>
      <t xml:space="preserve"> = i</t>
    </r>
    <r>
      <rPr>
        <vertAlign val="subscript"/>
        <sz val="11"/>
        <rFont val="Calibri"/>
        <family val="2"/>
        <scheme val="minor"/>
      </rPr>
      <t>(2)</t>
    </r>
    <r>
      <rPr>
        <sz val="11"/>
        <rFont val="Calibri"/>
        <family val="2"/>
        <scheme val="minor"/>
      </rPr>
      <t xml:space="preserve"> * 2</t>
    </r>
  </si>
  <si>
    <t>Étape 1 : Paiement futur pour éléments d'actif</t>
  </si>
  <si>
    <t>Flux monétaires</t>
  </si>
  <si>
    <t>Année</t>
  </si>
  <si>
    <t xml:space="preserve">Variation du rendement = </t>
  </si>
  <si>
    <t>Flux monétaires actualisés</t>
  </si>
  <si>
    <t>Flux monétaires actualisés avec diminution Δy du rendement</t>
  </si>
  <si>
    <t>Diminution Δy du rendement</t>
  </si>
  <si>
    <t>Rendement =</t>
  </si>
  <si>
    <t xml:space="preserve"> (8) Duration modifiée</t>
  </si>
  <si>
    <t>(5) Paiement actualisé = (3) * (4)</t>
  </si>
  <si>
    <t>(8) Duration modifiée = (7) / (1 + rendement)</t>
  </si>
  <si>
    <t>(11) Flux monétaires actualisés avec diminution Δy du rendement = (3) * (9)</t>
  </si>
  <si>
    <t>(12) Flux monétaires actualisés avec augmentation Δy du rendement = (3) * (10)</t>
  </si>
  <si>
    <t>Étape 3 :  Duration pondérée des éléments d'actif</t>
  </si>
  <si>
    <t>Duration modifiée</t>
  </si>
  <si>
    <t xml:space="preserve"> (13) Duration effective</t>
  </si>
  <si>
    <t>(13) Duration effective = (somme(11) - somme(12)) / (2 * variation du rendement * somme(5))</t>
  </si>
  <si>
    <t>Duration effective</t>
  </si>
  <si>
    <t>Élément d'actif #1</t>
  </si>
  <si>
    <t>Élément d'actif #2</t>
  </si>
  <si>
    <t>Élément d'actif #3</t>
  </si>
  <si>
    <t>Duration du passif des sinistres et du passif des primes</t>
  </si>
  <si>
    <t>Année de survenance</t>
  </si>
  <si>
    <t>Bien</t>
  </si>
  <si>
    <t>Passif</t>
  </si>
  <si>
    <t>Âge</t>
  </si>
  <si>
    <t>Rendement = 1.75%</t>
  </si>
  <si>
    <t>Étape 1 : Paiement futur pour le passif des sinistres</t>
  </si>
  <si>
    <t>Biens</t>
  </si>
  <si>
    <t>Non payé au 31 décembre 2015</t>
  </si>
  <si>
    <t>Payé en</t>
  </si>
  <si>
    <t>Étape 2 :  Calcul de la duration du passif des sinistres</t>
  </si>
  <si>
    <t>Rendement</t>
  </si>
  <si>
    <t>Variation du rendement</t>
  </si>
  <si>
    <t>Paiement</t>
  </si>
  <si>
    <t>Paiement actualisé</t>
  </si>
  <si>
    <t>Paiement actualisé avec diminution Δy du rendement</t>
  </si>
  <si>
    <t>Paiement actualisé avec augmentation Δy du rendement</t>
  </si>
  <si>
    <t>(11) Paiement actualisé avec diminution Δy du rendement = (3) * (9)</t>
  </si>
  <si>
    <t>(12) Paiement actualisé avec augmentation Δy du rendement = (3) * (10)</t>
  </si>
  <si>
    <t>PED</t>
  </si>
  <si>
    <t>modifiée</t>
  </si>
  <si>
    <t>effective</t>
  </si>
  <si>
    <t>Étape 3 :  Paiement futur pour le passif des primes</t>
  </si>
  <si>
    <t>Pertes prévues pour les biens = 550 * 65%</t>
  </si>
  <si>
    <t>Pertes prévues pour le passif = 380 * 80%</t>
  </si>
  <si>
    <t>Pour trouver x, x^2/2 = 36</t>
  </si>
  <si>
    <t>Ainsi x = 8,485 mois, c'est-à-dire 0,7071 année</t>
  </si>
  <si>
    <t>Administration</t>
  </si>
  <si>
    <t>(7) Duration Macaulay = Somme de (6) / Somme de (5)</t>
  </si>
  <si>
    <t>des primes</t>
  </si>
  <si>
    <t>VN du passif</t>
  </si>
  <si>
    <t>Société XYZ</t>
  </si>
  <si>
    <t>Société d'assurance canadienne/étrangère</t>
  </si>
  <si>
    <t>CONSOLIDÉ</t>
  </si>
  <si>
    <t>Éléments d’actif sensibles aux taux d’intérêt :</t>
  </si>
  <si>
    <t xml:space="preserve">   Dépôts à terme</t>
  </si>
  <si>
    <t xml:space="preserve">   Obligations et débentures</t>
  </si>
  <si>
    <t xml:space="preserve">   Prêts</t>
  </si>
  <si>
    <t xml:space="preserve">   Actions privilégiées</t>
  </si>
  <si>
    <t xml:space="preserve">   Autres (préciser)</t>
  </si>
  <si>
    <t>Total - Éléments d’actif sensibles aux taux d’intérêt :</t>
  </si>
  <si>
    <t>Éléments de passif sensibles aux taux d’intérêt :</t>
  </si>
  <si>
    <t xml:space="preserve">   Sinistres et frais de règlement non payés nets</t>
  </si>
  <si>
    <t xml:space="preserve">   Passif des primes net</t>
  </si>
  <si>
    <t xml:space="preserve">   Autres éléments approuvés par le BSIF</t>
  </si>
  <si>
    <t>TCM (TSAS) – CAPITAL (MARGE) REQUIS POUR LE RISQUE DE MARCHÉ</t>
  </si>
  <si>
    <t>('000 $)</t>
  </si>
  <si>
    <t>Capital (Marge) requis pour le risque de taux d'intérêt</t>
  </si>
  <si>
    <t>Juste valeur</t>
  </si>
  <si>
    <t>Duration modifiée ou effective</t>
  </si>
  <si>
    <t>Variation de la juste valeur en dollars
(01)x(02)xΔy</t>
  </si>
  <si>
    <t>Variation de la juste valeur en dollars
(01)x(02)x(-Δy)</t>
  </si>
  <si>
    <t xml:space="preserve">   Positions longues</t>
  </si>
  <si>
    <t xml:space="preserve">   Positions courtes</t>
  </si>
  <si>
    <t>Nota : Δy = 1.25%</t>
  </si>
  <si>
    <t>Valeur théorique</t>
  </si>
  <si>
    <t xml:space="preserve"> (7) Duration Macaulay</t>
  </si>
  <si>
    <t xml:space="preserve"> (7) Duration Macauley</t>
  </si>
  <si>
    <t>La superficie du triangle est 72 (12 * 12 / 2)</t>
  </si>
  <si>
    <t>Étape 4 :  Calcul de la duration pour le passif des primes</t>
  </si>
  <si>
    <t>VA du passif</t>
  </si>
  <si>
    <t>Total - Éléments de passif sensibles aux taux d’intérêt</t>
  </si>
  <si>
    <t>Coupon # (k)</t>
  </si>
  <si>
    <t>Exercice</t>
  </si>
  <si>
    <t>Étape 2 :  Calcul de la duration des éléments d'actif</t>
  </si>
  <si>
    <t>Délai</t>
  </si>
  <si>
    <t>Facteur valeur présente</t>
  </si>
  <si>
    <t>Délai * Flux monétaires actualisés</t>
  </si>
  <si>
    <t>Augmen-tation Δy du rendement</t>
  </si>
  <si>
    <t>Flux monétaires actualisés avec augmenta-tion Δy du rendement</t>
  </si>
  <si>
    <t>(4) Facteur valeur présente = 1 / (1 + rendement) ^ délai</t>
  </si>
  <si>
    <t>(6) Délai * Flux monétaires actualisés = (2) * (5)</t>
  </si>
  <si>
    <t>(9) Diminution Δy du rendement = 1 / (1 + rendement - variation du rendement) ^ délai</t>
  </si>
  <si>
    <t>(10) Augmentation Δy du rendement = 1 / (1 + rendement + variation du rendement) ^ délai</t>
  </si>
  <si>
    <t>Cadence des paiements</t>
  </si>
  <si>
    <t>Responsabilité civile (R.C.)</t>
  </si>
  <si>
    <t>Provision pour primes non acquises (PNA) pour les biens = 550</t>
  </si>
  <si>
    <t>PNA pour la R.C. = 380</t>
  </si>
  <si>
    <t>Frais d'administration (%) = 3.5%</t>
  </si>
  <si>
    <t>RSP pour la R.C. = 80%</t>
  </si>
  <si>
    <t>Ratio sinistres-primes (RSP) prévu pour les biens = 65%</t>
  </si>
  <si>
    <t>Provision</t>
  </si>
  <si>
    <t>R.C.</t>
  </si>
  <si>
    <t>Délai * Paiement actualisé</t>
  </si>
  <si>
    <t>Paiement actualisé avec augmenta-tion Δy du rendement</t>
  </si>
  <si>
    <t>(6) Délai * Paiement actualisé = (2) * (5)</t>
  </si>
  <si>
    <t>Étape 2a :  Duration moyenne du passif des sinistres</t>
  </si>
  <si>
    <t>Valeur présente</t>
  </si>
  <si>
    <t>des provisions</t>
  </si>
  <si>
    <t>Valeur actuarielle</t>
  </si>
  <si>
    <t>Âge moyen pour l'année de survenance</t>
  </si>
  <si>
    <r>
      <t>Âge moyen pour l'année de police</t>
    </r>
    <r>
      <rPr>
        <vertAlign val="superscript"/>
        <sz val="11"/>
        <color theme="1"/>
        <rFont val="Calibri"/>
        <family val="2"/>
        <scheme val="minor"/>
      </rPr>
      <t>1</t>
    </r>
  </si>
  <si>
    <t>Cadence de paiement - biens</t>
  </si>
  <si>
    <t>Cadence de paiements interpolés - biens</t>
  </si>
  <si>
    <t>Cadencee de paiement - R.C.</t>
  </si>
  <si>
    <t>Cadence de paiements interpolés - R.C.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</si>
  <si>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Supposons qu'il s'agisse toutes de polices de 12 mois acquises uniformément</t>
    </r>
  </si>
  <si>
    <t>Voici une méthode possible pour tenir compte du délai d'accident :</t>
  </si>
  <si>
    <t>Pour calculer l'âge moyen pour l'AP, supposons que x correspond au temps jusqu'à la fin d'exercice à partir de l'âge moyen des PNA</t>
  </si>
  <si>
    <t>L'âge moyen correspond au moment scindant le triangle des PNA en deux</t>
  </si>
  <si>
    <t>Sinistres</t>
  </si>
  <si>
    <t>Les frais d'administration correspondent à 3,5 % de la somme des PNA et devraient être payés pendant que les PNA sont gagnées.</t>
  </si>
  <si>
    <t xml:space="preserve">Paiement actualisé avec augmenta-tion Δy du rendement </t>
  </si>
  <si>
    <t>Frais d'administration</t>
  </si>
  <si>
    <t>Étape 4a :  Duration moyenne du passif des primes</t>
  </si>
  <si>
    <t xml:space="preserve"> Facteur de choc de taux d’intérêt</t>
  </si>
  <si>
    <t xml:space="preserve">   Effets commerciaux</t>
  </si>
  <si>
    <t xml:space="preserve">   Prêts hypothécaires</t>
  </si>
  <si>
    <t xml:space="preserve">   Titres hypothécaires/adossés à des créances</t>
  </si>
  <si>
    <t>Dérivés de taux d’intérêt admissibles</t>
  </si>
  <si>
    <t>Total - Dérivés de taux d’intérêt admissibles</t>
  </si>
  <si>
    <t>Capital requis pour l'augmentation de choc Δy</t>
  </si>
  <si>
    <t>Capital requis pour la diminution de choc Δy</t>
  </si>
  <si>
    <t>Total - Marge pour risque de taux d'intérêt</t>
  </si>
  <si>
    <t>Variation de la juste valeur en dollars - Δy</t>
  </si>
  <si>
    <r>
      <t>Taux du c</t>
    </r>
    <r>
      <rPr>
        <sz val="11"/>
        <rFont val="Calibri"/>
        <family val="2"/>
      </rPr>
      <t>oupon</t>
    </r>
  </si>
  <si>
    <r>
      <t>versement pour l'AS 2015 @ 201</t>
    </r>
    <r>
      <rPr>
        <sz val="11"/>
        <rFont val="Calibri"/>
        <family val="2"/>
      </rPr>
      <t>6</t>
    </r>
    <r>
      <rPr>
        <sz val="11"/>
        <rFont val="Calibri"/>
        <family val="2"/>
        <scheme val="minor"/>
      </rPr>
      <t xml:space="preserve"> = 258 / (1-35%) * (68% - 35%)</t>
    </r>
  </si>
  <si>
    <r>
      <t>versement pour l'AS 201</t>
    </r>
    <r>
      <rPr>
        <sz val="11"/>
        <rFont val="Calibri"/>
        <family val="2"/>
      </rPr>
      <t>5</t>
    </r>
    <r>
      <rPr>
        <sz val="11"/>
        <rFont val="Calibri"/>
        <family val="2"/>
        <scheme val="minor"/>
      </rPr>
      <t xml:space="preserve"> @ 2017 = 258 / (1-35%) * (80% - 68%)</t>
    </r>
  </si>
  <si>
    <r>
      <t>versement pour l'AS 2014 @ 201</t>
    </r>
    <r>
      <rPr>
        <sz val="11"/>
        <rFont val="Calibri"/>
        <family val="2"/>
      </rPr>
      <t>6</t>
    </r>
    <r>
      <rPr>
        <sz val="11"/>
        <rFont val="Calibri"/>
        <family val="2"/>
        <scheme val="minor"/>
      </rPr>
      <t xml:space="preserve"> = 186 / (1-68%) * (80% - 68%)</t>
    </r>
  </si>
  <si>
    <r>
      <t>versement pour l'AS 201</t>
    </r>
    <r>
      <rPr>
        <sz val="11"/>
        <rFont val="Calibri"/>
        <family val="2"/>
      </rPr>
      <t>5</t>
    </r>
    <r>
      <rPr>
        <sz val="11"/>
        <rFont val="Calibri"/>
        <family val="2"/>
        <scheme val="minor"/>
      </rPr>
      <t xml:space="preserve"> @ 2016 = 137 / (1-80%) * (95% - 80%)</t>
    </r>
  </si>
  <si>
    <r>
      <t>versement pour l'AS 2015 @ 201</t>
    </r>
    <r>
      <rPr>
        <sz val="11"/>
        <rFont val="Calibri"/>
        <family val="2"/>
      </rPr>
      <t>7</t>
    </r>
    <r>
      <rPr>
        <sz val="11"/>
        <rFont val="Calibri"/>
        <family val="2"/>
        <scheme val="minor"/>
      </rPr>
      <t xml:space="preserve"> = 137 / (1-80%) * (100% - 95%)</t>
    </r>
  </si>
  <si>
    <r>
      <t>versement pour l'AS 201</t>
    </r>
    <r>
      <rPr>
        <sz val="11"/>
        <rFont val="Calibri"/>
        <family val="2"/>
      </rPr>
      <t>4</t>
    </r>
    <r>
      <rPr>
        <sz val="11"/>
        <rFont val="Calibri"/>
        <family val="2"/>
        <scheme val="minor"/>
      </rPr>
      <t xml:space="preserve"> @ 2016 = 16 / (1-95%) * (100% - 95%)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</si>
</sst>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yyyy/mm/dd;@"/>
    <numFmt numFmtId="166" formatCode="_(* #,##0_);_(* \(#,##0\);_(* &quot;-&quot;??_);_(@_)"/>
    <numFmt numFmtId="167" formatCode="_(* #,##0.000_);_(* \(#,##0.000\);_(* &quot;-&quot;??_);_(@_)"/>
    <numFmt numFmtId="168" formatCode="_-* #,##0.00_-;_-* #,##0.00\-;_-* &quot;-&quot;??_-;_-@_-"/>
    <numFmt numFmtId="169" formatCode="_(* #,##0.0000_);_(* \(#,##0.0000\);_(* &quot;-&quot;??_);_(@_)"/>
    <numFmt numFmtId="170" formatCode="0.0000"/>
    <numFmt numFmtId="171" formatCode="0.0"/>
    <numFmt numFmtId="172" formatCode="#,##0.00000_);\(#,##0.00000\)"/>
    <numFmt numFmtId="173" formatCode="#,##0.0000_);\(#,##0.0000\)"/>
    <numFmt numFmtId="174" formatCode="_-* #,##0_-;\-* #,##0_-;_-* &quot;-&quot;??_-;_-@_-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12"/>
      <name val="SWISS"/>
    </font>
    <font>
      <sz val="12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vertAlign val="subscript"/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Arial"/>
      <family val="2"/>
    </font>
    <font>
      <b/>
      <i/>
      <u/>
      <sz val="11"/>
      <name val="Times New Roman"/>
      <family val="1"/>
    </font>
    <font>
      <i/>
      <sz val="11"/>
      <name val="Times New Roman"/>
      <family val="1"/>
    </font>
    <font>
      <sz val="10"/>
      <name val="MS Sans Serif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color rgb="FF0000FF"/>
      <name val="Times New Roman"/>
      <family val="1"/>
    </font>
    <font>
      <sz val="11"/>
      <name val="MS Sans Serif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Times New Roman"/>
      <family val="1"/>
    </font>
    <font>
      <sz val="12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37" fontId="8" fillId="0" borderId="0"/>
    <xf numFmtId="0" fontId="3" fillId="0" borderId="0"/>
    <xf numFmtId="0" fontId="16" fillId="0" borderId="0"/>
    <xf numFmtId="0" fontId="19" fillId="0" borderId="0"/>
    <xf numFmtId="0" fontId="21" fillId="0" borderId="0"/>
    <xf numFmtId="0" fontId="3" fillId="0" borderId="0"/>
    <xf numFmtId="0" fontId="3" fillId="0" borderId="0"/>
    <xf numFmtId="43" fontId="19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90">
    <xf numFmtId="0" fontId="0" fillId="0" borderId="0" xfId="0"/>
    <xf numFmtId="0" fontId="0" fillId="0" borderId="0" xfId="0" applyAlignment="1">
      <alignment horizontal="right"/>
    </xf>
    <xf numFmtId="166" fontId="0" fillId="0" borderId="0" xfId="1" applyNumberFormat="1" applyFont="1"/>
    <xf numFmtId="167" fontId="0" fillId="0" borderId="0" xfId="0" applyNumberFormat="1"/>
    <xf numFmtId="166" fontId="0" fillId="0" borderId="0" xfId="0" applyNumberFormat="1"/>
    <xf numFmtId="169" fontId="0" fillId="0" borderId="0" xfId="1" applyNumberFormat="1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" wrapText="1"/>
    </xf>
    <xf numFmtId="9" fontId="0" fillId="0" borderId="0" xfId="2" applyFont="1"/>
    <xf numFmtId="10" fontId="0" fillId="0" borderId="0" xfId="0" applyNumberFormat="1"/>
    <xf numFmtId="170" fontId="0" fillId="0" borderId="0" xfId="0" quotePrefix="1" applyNumberFormat="1" applyAlignment="1">
      <alignment horizontal="right"/>
    </xf>
    <xf numFmtId="0" fontId="0" fillId="0" borderId="0" xfId="0" quotePrefix="1" applyAlignment="1">
      <alignment horizontal="right"/>
    </xf>
    <xf numFmtId="167" fontId="2" fillId="0" borderId="0" xfId="0" applyNumberFormat="1" applyFont="1"/>
    <xf numFmtId="171" fontId="0" fillId="0" borderId="0" xfId="0" applyNumberFormat="1"/>
    <xf numFmtId="166" fontId="0" fillId="0" borderId="0" xfId="0" applyNumberFormat="1" applyAlignment="1">
      <alignment horizontal="right"/>
    </xf>
    <xf numFmtId="0" fontId="2" fillId="0" borderId="0" xfId="0" applyFont="1"/>
    <xf numFmtId="0" fontId="0" fillId="0" borderId="1" xfId="0" applyBorder="1"/>
    <xf numFmtId="166" fontId="0" fillId="0" borderId="1" xfId="0" applyNumberFormat="1" applyBorder="1"/>
    <xf numFmtId="0" fontId="0" fillId="0" borderId="0" xfId="0" applyAlignment="1">
      <alignment horizontal="center"/>
    </xf>
    <xf numFmtId="167" fontId="0" fillId="0" borderId="1" xfId="0" applyNumberFormat="1" applyBorder="1"/>
    <xf numFmtId="171" fontId="0" fillId="0" borderId="0" xfId="0" applyNumberFormat="1" applyAlignment="1">
      <alignment horizontal="center"/>
    </xf>
    <xf numFmtId="0" fontId="0" fillId="0" borderId="1" xfId="0" applyBorder="1" applyAlignment="1">
      <alignment horizontal="centerContinuous"/>
    </xf>
    <xf numFmtId="10" fontId="0" fillId="0" borderId="0" xfId="0" applyNumberFormat="1" applyAlignment="1">
      <alignment horizontal="center"/>
    </xf>
    <xf numFmtId="0" fontId="7" fillId="0" borderId="0" xfId="0" applyFont="1"/>
    <xf numFmtId="37" fontId="9" fillId="0" borderId="0" xfId="4" applyFont="1"/>
    <xf numFmtId="37" fontId="11" fillId="0" borderId="4" xfId="3" applyNumberFormat="1" applyFont="1" applyFill="1" applyBorder="1" applyProtection="1">
      <protection locked="0"/>
    </xf>
    <xf numFmtId="173" fontId="11" fillId="0" borderId="4" xfId="5" applyNumberFormat="1" applyFont="1" applyBorder="1" applyProtection="1">
      <protection locked="0"/>
    </xf>
    <xf numFmtId="37" fontId="11" fillId="0" borderId="2" xfId="3" applyNumberFormat="1" applyFont="1" applyFill="1" applyBorder="1" applyProtection="1">
      <protection locked="0"/>
    </xf>
    <xf numFmtId="173" fontId="11" fillId="0" borderId="2" xfId="5" applyNumberFormat="1" applyFont="1" applyBorder="1" applyProtection="1">
      <protection locked="0"/>
    </xf>
    <xf numFmtId="37" fontId="11" fillId="0" borderId="3" xfId="3" applyNumberFormat="1" applyFont="1" applyFill="1" applyBorder="1" applyProtection="1">
      <protection locked="0"/>
    </xf>
    <xf numFmtId="173" fontId="11" fillId="0" borderId="3" xfId="5" applyNumberFormat="1" applyFont="1" applyBorder="1" applyProtection="1">
      <protection locked="0"/>
    </xf>
    <xf numFmtId="0" fontId="0" fillId="0" borderId="5" xfId="0" quotePrefix="1" applyBorder="1" applyAlignment="1">
      <alignment horizontal="center"/>
    </xf>
    <xf numFmtId="0" fontId="0" fillId="0" borderId="5" xfId="0" applyBorder="1"/>
    <xf numFmtId="171" fontId="0" fillId="0" borderId="5" xfId="0" applyNumberFormat="1" applyBorder="1"/>
    <xf numFmtId="166" fontId="0" fillId="0" borderId="5" xfId="0" applyNumberFormat="1" applyBorder="1"/>
    <xf numFmtId="170" fontId="0" fillId="0" borderId="5" xfId="0" applyNumberFormat="1" applyBorder="1"/>
    <xf numFmtId="171" fontId="0" fillId="0" borderId="6" xfId="0" applyNumberFormat="1" applyBorder="1"/>
    <xf numFmtId="166" fontId="0" fillId="0" borderId="6" xfId="0" applyNumberFormat="1" applyBorder="1"/>
    <xf numFmtId="170" fontId="0" fillId="0" borderId="6" xfId="0" applyNumberFormat="1" applyBorder="1"/>
    <xf numFmtId="0" fontId="0" fillId="0" borderId="6" xfId="0" applyBorder="1"/>
    <xf numFmtId="171" fontId="0" fillId="0" borderId="6" xfId="0" applyNumberFormat="1" applyBorder="1" applyAlignment="1">
      <alignment horizontal="right"/>
    </xf>
    <xf numFmtId="0" fontId="0" fillId="0" borderId="7" xfId="0" applyBorder="1" applyAlignment="1">
      <alignment horizontal="center" wrapText="1"/>
    </xf>
    <xf numFmtId="0" fontId="0" fillId="0" borderId="6" xfId="0" applyBorder="1" applyAlignment="1">
      <alignment horizontal="right"/>
    </xf>
    <xf numFmtId="0" fontId="0" fillId="0" borderId="6" xfId="0" quotePrefix="1" applyBorder="1" applyAlignment="1">
      <alignment horizontal="center"/>
    </xf>
    <xf numFmtId="169" fontId="0" fillId="0" borderId="5" xfId="0" applyNumberFormat="1" applyBorder="1"/>
    <xf numFmtId="0" fontId="0" fillId="0" borderId="6" xfId="0" applyBorder="1" applyAlignment="1">
      <alignment horizontal="center"/>
    </xf>
    <xf numFmtId="169" fontId="0" fillId="0" borderId="6" xfId="0" applyNumberFormat="1" applyBorder="1"/>
    <xf numFmtId="0" fontId="13" fillId="0" borderId="0" xfId="0" applyFont="1"/>
    <xf numFmtId="166" fontId="13" fillId="0" borderId="0" xfId="0" applyNumberFormat="1" applyFont="1"/>
    <xf numFmtId="10" fontId="13" fillId="0" borderId="0" xfId="0" applyNumberFormat="1" applyFont="1"/>
    <xf numFmtId="0" fontId="15" fillId="0" borderId="0" xfId="0" applyFont="1"/>
    <xf numFmtId="37" fontId="17" fillId="0" borderId="0" xfId="6" applyNumberFormat="1" applyFont="1"/>
    <xf numFmtId="37" fontId="12" fillId="0" borderId="0" xfId="6" quotePrefix="1" applyNumberFormat="1" applyFont="1"/>
    <xf numFmtId="0" fontId="12" fillId="0" borderId="0" xfId="7" applyFont="1"/>
    <xf numFmtId="49" fontId="20" fillId="0" borderId="0" xfId="5" applyNumberFormat="1" applyFont="1" applyAlignment="1">
      <alignment horizontal="center"/>
    </xf>
    <xf numFmtId="0" fontId="12" fillId="0" borderId="9" xfId="8" applyFont="1" applyBorder="1"/>
    <xf numFmtId="0" fontId="12" fillId="0" borderId="10" xfId="8" applyFont="1" applyBorder="1"/>
    <xf numFmtId="0" fontId="12" fillId="0" borderId="11" xfId="8" quotePrefix="1" applyFont="1" applyBorder="1" applyAlignment="1">
      <alignment horizontal="center"/>
    </xf>
    <xf numFmtId="37" fontId="20" fillId="0" borderId="10" xfId="8" applyNumberFormat="1" applyFont="1" applyBorder="1"/>
    <xf numFmtId="37" fontId="12" fillId="0" borderId="12" xfId="8" applyNumberFormat="1" applyFont="1" applyBorder="1"/>
    <xf numFmtId="0" fontId="22" fillId="0" borderId="12" xfId="8" applyFont="1" applyBorder="1" applyProtection="1">
      <protection locked="0"/>
    </xf>
    <xf numFmtId="37" fontId="20" fillId="0" borderId="8" xfId="8" applyNumberFormat="1" applyFont="1" applyBorder="1" applyAlignment="1">
      <alignment horizontal="left"/>
    </xf>
    <xf numFmtId="0" fontId="20" fillId="0" borderId="10" xfId="8" applyFont="1" applyBorder="1"/>
    <xf numFmtId="37" fontId="12" fillId="0" borderId="13" xfId="8" applyNumberFormat="1" applyFont="1" applyBorder="1"/>
    <xf numFmtId="37" fontId="20" fillId="0" borderId="8" xfId="8" applyNumberFormat="1" applyFont="1" applyBorder="1"/>
    <xf numFmtId="37" fontId="12" fillId="0" borderId="0" xfId="8" applyNumberFormat="1" applyFont="1"/>
    <xf numFmtId="0" fontId="23" fillId="0" borderId="0" xfId="7" applyFont="1"/>
    <xf numFmtId="49" fontId="12" fillId="0" borderId="0" xfId="6" applyNumberFormat="1" applyFont="1"/>
    <xf numFmtId="49" fontId="12" fillId="0" borderId="0" xfId="6" quotePrefix="1" applyNumberFormat="1" applyFont="1"/>
    <xf numFmtId="49" fontId="12" fillId="0" borderId="0" xfId="7" applyNumberFormat="1" applyFont="1"/>
    <xf numFmtId="49" fontId="12" fillId="0" borderId="0" xfId="8" applyNumberFormat="1" applyFont="1"/>
    <xf numFmtId="49" fontId="12" fillId="0" borderId="1" xfId="8" applyNumberFormat="1" applyFont="1" applyBorder="1"/>
    <xf numFmtId="49" fontId="20" fillId="0" borderId="0" xfId="8" applyNumberFormat="1" applyFont="1"/>
    <xf numFmtId="49" fontId="12" fillId="0" borderId="15" xfId="8" applyNumberFormat="1" applyFont="1" applyBorder="1" applyAlignment="1">
      <alignment horizontal="center"/>
    </xf>
    <xf numFmtId="49" fontId="12" fillId="0" borderId="16" xfId="8" applyNumberFormat="1" applyFont="1" applyBorder="1" applyAlignment="1">
      <alignment horizontal="center"/>
    </xf>
    <xf numFmtId="49" fontId="12" fillId="0" borderId="17" xfId="8" applyNumberFormat="1" applyFont="1" applyBorder="1" applyAlignment="1">
      <alignment horizontal="center"/>
    </xf>
    <xf numFmtId="49" fontId="20" fillId="0" borderId="14" xfId="8" applyNumberFormat="1" applyFont="1" applyBorder="1" applyAlignment="1">
      <alignment horizontal="center"/>
    </xf>
    <xf numFmtId="49" fontId="18" fillId="0" borderId="0" xfId="8" applyNumberFormat="1" applyFont="1" applyAlignment="1">
      <alignment horizontal="center"/>
    </xf>
    <xf numFmtId="49" fontId="18" fillId="0" borderId="0" xfId="8" applyNumberFormat="1" applyFont="1"/>
    <xf numFmtId="49" fontId="23" fillId="0" borderId="0" xfId="7" applyNumberFormat="1" applyFont="1"/>
    <xf numFmtId="0" fontId="12" fillId="0" borderId="0" xfId="6" applyFont="1"/>
    <xf numFmtId="0" fontId="12" fillId="0" borderId="0" xfId="6" quotePrefix="1" applyFont="1"/>
    <xf numFmtId="0" fontId="20" fillId="0" borderId="18" xfId="8" applyFont="1" applyBorder="1"/>
    <xf numFmtId="37" fontId="20" fillId="0" borderId="18" xfId="8" applyNumberFormat="1" applyFont="1" applyBorder="1" applyAlignment="1">
      <alignment horizontal="center"/>
    </xf>
    <xf numFmtId="49" fontId="20" fillId="0" borderId="18" xfId="8" applyNumberFormat="1" applyFont="1" applyBorder="1" applyAlignment="1">
      <alignment horizontal="center"/>
    </xf>
    <xf numFmtId="49" fontId="12" fillId="0" borderId="19" xfId="8" quotePrefix="1" applyNumberFormat="1" applyFont="1" applyBorder="1" applyAlignment="1">
      <alignment horizontal="center"/>
    </xf>
    <xf numFmtId="174" fontId="24" fillId="0" borderId="18" xfId="11" applyNumberFormat="1" applyFont="1" applyFill="1" applyBorder="1"/>
    <xf numFmtId="37" fontId="22" fillId="0" borderId="19" xfId="11" applyNumberFormat="1" applyFont="1" applyFill="1" applyBorder="1" applyProtection="1">
      <protection locked="0"/>
    </xf>
    <xf numFmtId="37" fontId="22" fillId="0" borderId="20" xfId="11" applyNumberFormat="1" applyFont="1" applyFill="1" applyBorder="1" applyProtection="1">
      <protection locked="0"/>
    </xf>
    <xf numFmtId="37" fontId="22" fillId="0" borderId="21" xfId="11" applyNumberFormat="1" applyFont="1" applyFill="1" applyBorder="1" applyProtection="1">
      <protection locked="0"/>
    </xf>
    <xf numFmtId="37" fontId="24" fillId="0" borderId="22" xfId="11" applyNumberFormat="1" applyFont="1" applyFill="1" applyBorder="1"/>
    <xf numFmtId="174" fontId="25" fillId="0" borderId="21" xfId="11" applyNumberFormat="1" applyFont="1" applyFill="1" applyBorder="1" applyAlignment="1">
      <alignment horizontal="center" vertical="top"/>
    </xf>
    <xf numFmtId="174" fontId="24" fillId="0" borderId="19" xfId="11" quotePrefix="1" applyNumberFormat="1" applyFont="1" applyFill="1" applyBorder="1" applyAlignment="1">
      <alignment horizontal="center"/>
    </xf>
    <xf numFmtId="37" fontId="22" fillId="0" borderId="18" xfId="11" applyNumberFormat="1" applyFont="1" applyFill="1" applyBorder="1" applyProtection="1">
      <protection locked="0"/>
    </xf>
    <xf numFmtId="37" fontId="12" fillId="2" borderId="22" xfId="11" applyNumberFormat="1" applyFont="1" applyFill="1" applyBorder="1"/>
    <xf numFmtId="174" fontId="12" fillId="2" borderId="20" xfId="11" applyNumberFormat="1" applyFont="1" applyFill="1" applyBorder="1"/>
    <xf numFmtId="174" fontId="12" fillId="2" borderId="21" xfId="11" applyNumberFormat="1" applyFont="1" applyFill="1" applyBorder="1"/>
    <xf numFmtId="174" fontId="12" fillId="2" borderId="22" xfId="11" applyNumberFormat="1" applyFont="1" applyFill="1" applyBorder="1"/>
    <xf numFmtId="49" fontId="20" fillId="0" borderId="5" xfId="8" applyNumberFormat="1" applyFont="1" applyBorder="1" applyAlignment="1">
      <alignment horizontal="center"/>
    </xf>
    <xf numFmtId="43" fontId="24" fillId="0" borderId="5" xfId="11" applyFont="1" applyFill="1" applyBorder="1" applyAlignment="1">
      <alignment horizontal="center"/>
    </xf>
    <xf numFmtId="4" fontId="22" fillId="0" borderId="4" xfId="11" applyNumberFormat="1" applyFont="1" applyFill="1" applyBorder="1" applyAlignment="1" applyProtection="1">
      <alignment horizontal="center"/>
      <protection locked="0"/>
    </xf>
    <xf numFmtId="37" fontId="24" fillId="2" borderId="24" xfId="11" applyNumberFormat="1" applyFont="1" applyFill="1" applyBorder="1"/>
    <xf numFmtId="174" fontId="24" fillId="2" borderId="25" xfId="11" applyNumberFormat="1" applyFont="1" applyFill="1" applyBorder="1"/>
    <xf numFmtId="37" fontId="22" fillId="2" borderId="4" xfId="11" applyNumberFormat="1" applyFont="1" applyFill="1" applyBorder="1"/>
    <xf numFmtId="37" fontId="22" fillId="2" borderId="5" xfId="11" applyNumberFormat="1" applyFont="1" applyFill="1" applyBorder="1"/>
    <xf numFmtId="37" fontId="12" fillId="2" borderId="25" xfId="11" applyNumberFormat="1" applyFont="1" applyFill="1" applyBorder="1" applyAlignment="1">
      <alignment horizontal="center"/>
    </xf>
    <xf numFmtId="174" fontId="12" fillId="2" borderId="4" xfId="11" applyNumberFormat="1" applyFont="1" applyFill="1" applyBorder="1" applyAlignment="1">
      <alignment horizontal="center"/>
    </xf>
    <xf numFmtId="174" fontId="12" fillId="2" borderId="25" xfId="11" applyNumberFormat="1" applyFont="1" applyFill="1" applyBorder="1" applyAlignment="1">
      <alignment horizontal="center"/>
    </xf>
    <xf numFmtId="49" fontId="20" fillId="0" borderId="0" xfId="8" quotePrefix="1" applyNumberFormat="1" applyFont="1" applyAlignment="1">
      <alignment horizontal="center"/>
    </xf>
    <xf numFmtId="49" fontId="12" fillId="0" borderId="1" xfId="8" quotePrefix="1" applyNumberFormat="1" applyFont="1" applyBorder="1" applyAlignment="1">
      <alignment horizontal="center"/>
    </xf>
    <xf numFmtId="174" fontId="24" fillId="0" borderId="0" xfId="11" applyNumberFormat="1" applyFont="1" applyFill="1" applyBorder="1"/>
    <xf numFmtId="37" fontId="24" fillId="0" borderId="25" xfId="11" applyNumberFormat="1" applyFont="1" applyFill="1" applyBorder="1"/>
    <xf numFmtId="174" fontId="24" fillId="0" borderId="1" xfId="11" quotePrefix="1" applyNumberFormat="1" applyFont="1" applyFill="1" applyBorder="1" applyAlignment="1">
      <alignment horizontal="center"/>
    </xf>
    <xf numFmtId="37" fontId="22" fillId="0" borderId="26" xfId="11" applyNumberFormat="1" applyFont="1" applyFill="1" applyBorder="1" applyProtection="1">
      <protection locked="0"/>
    </xf>
    <xf numFmtId="37" fontId="22" fillId="0" borderId="0" xfId="11" applyNumberFormat="1" applyFont="1" applyFill="1" applyBorder="1" applyProtection="1">
      <protection locked="0"/>
    </xf>
    <xf numFmtId="37" fontId="12" fillId="0" borderId="4" xfId="11" applyNumberFormat="1" applyFont="1" applyFill="1" applyBorder="1"/>
    <xf numFmtId="37" fontId="12" fillId="2" borderId="25" xfId="11" applyNumberFormat="1" applyFont="1" applyFill="1" applyBorder="1"/>
    <xf numFmtId="49" fontId="20" fillId="0" borderId="29" xfId="8" quotePrefix="1" applyNumberFormat="1" applyFont="1" applyBorder="1" applyAlignment="1">
      <alignment horizontal="center"/>
    </xf>
    <xf numFmtId="49" fontId="12" fillId="0" borderId="30" xfId="8" quotePrefix="1" applyNumberFormat="1" applyFont="1" applyBorder="1" applyAlignment="1">
      <alignment horizontal="center"/>
    </xf>
    <xf numFmtId="174" fontId="12" fillId="0" borderId="29" xfId="11" applyNumberFormat="1" applyFont="1" applyFill="1" applyBorder="1"/>
    <xf numFmtId="37" fontId="12" fillId="0" borderId="30" xfId="11" applyNumberFormat="1" applyFont="1" applyFill="1" applyBorder="1"/>
    <xf numFmtId="37" fontId="24" fillId="0" borderId="32" xfId="11" applyNumberFormat="1" applyFont="1" applyFill="1" applyBorder="1"/>
    <xf numFmtId="174" fontId="25" fillId="0" borderId="33" xfId="11" applyNumberFormat="1" applyFont="1" applyFill="1" applyBorder="1" applyAlignment="1">
      <alignment horizontal="center" vertical="top" wrapText="1"/>
    </xf>
    <xf numFmtId="174" fontId="24" fillId="0" borderId="30" xfId="11" quotePrefix="1" applyNumberFormat="1" applyFont="1" applyFill="1" applyBorder="1" applyAlignment="1">
      <alignment horizontal="center"/>
    </xf>
    <xf numFmtId="37" fontId="22" fillId="0" borderId="31" xfId="11" applyNumberFormat="1" applyFont="1" applyFill="1" applyBorder="1" applyProtection="1">
      <protection locked="0"/>
    </xf>
    <xf numFmtId="37" fontId="12" fillId="2" borderId="31" xfId="11" applyNumberFormat="1" applyFont="1" applyFill="1" applyBorder="1"/>
    <xf numFmtId="37" fontId="12" fillId="0" borderId="33" xfId="11" applyNumberFormat="1" applyFont="1" applyFill="1" applyBorder="1"/>
    <xf numFmtId="37" fontId="12" fillId="0" borderId="32" xfId="11" applyNumberFormat="1" applyFont="1" applyFill="1" applyBorder="1" applyAlignment="1"/>
    <xf numFmtId="0" fontId="22" fillId="0" borderId="0" xfId="7" applyFont="1"/>
    <xf numFmtId="0" fontId="12" fillId="0" borderId="0" xfId="7" quotePrefix="1" applyFont="1" applyAlignment="1">
      <alignment horizontal="right"/>
    </xf>
    <xf numFmtId="0" fontId="18" fillId="0" borderId="0" xfId="5" applyFont="1"/>
    <xf numFmtId="49" fontId="20" fillId="0" borderId="0" xfId="5" applyNumberFormat="1" applyFont="1"/>
    <xf numFmtId="39" fontId="22" fillId="0" borderId="34" xfId="11" applyNumberFormat="1" applyFont="1" applyFill="1" applyBorder="1" applyAlignment="1" applyProtection="1">
      <alignment horizontal="center"/>
      <protection locked="0"/>
    </xf>
    <xf numFmtId="174" fontId="25" fillId="2" borderId="34" xfId="11" applyNumberFormat="1" applyFont="1" applyFill="1" applyBorder="1" applyAlignment="1">
      <alignment horizontal="center"/>
    </xf>
    <xf numFmtId="174" fontId="25" fillId="0" borderId="34" xfId="11" applyNumberFormat="1" applyFont="1" applyFill="1" applyBorder="1" applyAlignment="1">
      <alignment horizontal="center" vertical="top" wrapText="1"/>
    </xf>
    <xf numFmtId="174" fontId="12" fillId="2" borderId="34" xfId="11" applyNumberFormat="1" applyFont="1" applyFill="1" applyBorder="1" applyAlignment="1">
      <alignment horizontal="center"/>
    </xf>
    <xf numFmtId="37" fontId="12" fillId="2" borderId="34" xfId="11" applyNumberFormat="1" applyFont="1" applyFill="1" applyBorder="1"/>
    <xf numFmtId="49" fontId="12" fillId="0" borderId="35" xfId="8" quotePrefix="1" applyNumberFormat="1" applyFont="1" applyBorder="1" applyAlignment="1">
      <alignment horizontal="center"/>
    </xf>
    <xf numFmtId="4" fontId="22" fillId="0" borderId="35" xfId="11" applyNumberFormat="1" applyFont="1" applyFill="1" applyBorder="1" applyAlignment="1" applyProtection="1">
      <alignment horizontal="center"/>
      <protection locked="0"/>
    </xf>
    <xf numFmtId="37" fontId="24" fillId="0" borderId="35" xfId="11" applyNumberFormat="1" applyFont="1" applyFill="1" applyBorder="1"/>
    <xf numFmtId="174" fontId="24" fillId="2" borderId="35" xfId="11" applyNumberFormat="1" applyFont="1" applyFill="1" applyBorder="1" applyAlignment="1">
      <alignment horizontal="center"/>
    </xf>
    <xf numFmtId="0" fontId="26" fillId="0" borderId="0" xfId="0" applyFont="1" applyAlignment="1">
      <alignment horizontal="center" wrapText="1"/>
    </xf>
    <xf numFmtId="0" fontId="26" fillId="0" borderId="0" xfId="0" applyFont="1"/>
    <xf numFmtId="170" fontId="26" fillId="0" borderId="0" xfId="0" quotePrefix="1" applyNumberFormat="1" applyFont="1" applyAlignment="1">
      <alignment horizontal="left"/>
    </xf>
    <xf numFmtId="0" fontId="26" fillId="0" borderId="0" xfId="0" quotePrefix="1" applyFont="1"/>
    <xf numFmtId="0" fontId="26" fillId="0" borderId="0" xfId="0" quotePrefix="1" applyFont="1" applyAlignment="1">
      <alignment horizontal="left"/>
    </xf>
    <xf numFmtId="0" fontId="27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6" fillId="0" borderId="7" xfId="0" applyFont="1" applyBorder="1" applyAlignment="1">
      <alignment horizontal="center" wrapText="1"/>
    </xf>
    <xf numFmtId="0" fontId="27" fillId="0" borderId="7" xfId="0" applyFont="1" applyBorder="1" applyAlignment="1">
      <alignment horizontal="center" wrapText="1"/>
    </xf>
    <xf numFmtId="37" fontId="28" fillId="0" borderId="8" xfId="8" applyNumberFormat="1" applyFont="1" applyBorder="1" applyAlignment="1">
      <alignment horizontal="left"/>
    </xf>
    <xf numFmtId="0" fontId="29" fillId="0" borderId="0" xfId="0" applyFont="1" applyAlignment="1">
      <alignment horizontal="right"/>
    </xf>
    <xf numFmtId="0" fontId="29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165" fontId="13" fillId="0" borderId="0" xfId="0" applyNumberFormat="1" applyFont="1"/>
    <xf numFmtId="10" fontId="13" fillId="0" borderId="0" xfId="2" applyNumberFormat="1" applyFont="1"/>
    <xf numFmtId="171" fontId="13" fillId="0" borderId="0" xfId="0" applyNumberFormat="1" applyFont="1" applyAlignment="1">
      <alignment horizontal="center"/>
    </xf>
    <xf numFmtId="171" fontId="13" fillId="0" borderId="5" xfId="0" applyNumberFormat="1" applyFont="1" applyBorder="1"/>
    <xf numFmtId="171" fontId="13" fillId="0" borderId="6" xfId="0" applyNumberFormat="1" applyFont="1" applyBorder="1"/>
    <xf numFmtId="170" fontId="13" fillId="0" borderId="5" xfId="0" applyNumberFormat="1" applyFont="1" applyBorder="1"/>
    <xf numFmtId="170" fontId="13" fillId="0" borderId="6" xfId="0" applyNumberFormat="1" applyFont="1" applyBorder="1"/>
    <xf numFmtId="170" fontId="13" fillId="0" borderId="0" xfId="0" quotePrefix="1" applyNumberFormat="1" applyFont="1" applyAlignment="1">
      <alignment horizontal="left"/>
    </xf>
    <xf numFmtId="0" fontId="13" fillId="0" borderId="0" xfId="0" quotePrefix="1" applyFont="1"/>
    <xf numFmtId="0" fontId="13" fillId="0" borderId="0" xfId="0" quotePrefix="1" applyFont="1" applyAlignment="1">
      <alignment horizontal="left"/>
    </xf>
    <xf numFmtId="0" fontId="13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5" xfId="0" applyFont="1" applyBorder="1"/>
    <xf numFmtId="0" fontId="13" fillId="0" borderId="6" xfId="0" applyFont="1" applyBorder="1"/>
    <xf numFmtId="0" fontId="13" fillId="0" borderId="5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172" fontId="11" fillId="0" borderId="0" xfId="4" applyNumberFormat="1" applyFont="1" applyAlignment="1">
      <alignment horizontal="centerContinuous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2" fillId="0" borderId="0" xfId="6" quotePrefix="1" applyFont="1" applyAlignment="1">
      <alignment horizontal="center"/>
    </xf>
    <xf numFmtId="37" fontId="18" fillId="0" borderId="0" xfId="5" applyNumberFormat="1" applyFont="1" applyAlignment="1">
      <alignment horizontal="center"/>
    </xf>
    <xf numFmtId="0" fontId="18" fillId="0" borderId="0" xfId="5" applyFont="1" applyAlignment="1">
      <alignment horizontal="center"/>
    </xf>
    <xf numFmtId="37" fontId="10" fillId="0" borderId="0" xfId="5" applyNumberFormat="1" applyFont="1" applyAlignment="1">
      <alignment horizontal="center"/>
    </xf>
    <xf numFmtId="37" fontId="20" fillId="0" borderId="0" xfId="7" applyNumberFormat="1" applyFont="1" applyAlignment="1">
      <alignment horizontal="center"/>
    </xf>
    <xf numFmtId="0" fontId="20" fillId="0" borderId="0" xfId="7" applyFont="1" applyAlignment="1">
      <alignment horizontal="center"/>
    </xf>
    <xf numFmtId="37" fontId="20" fillId="0" borderId="0" xfId="5" applyNumberFormat="1" applyFont="1" applyAlignment="1">
      <alignment horizontal="center"/>
    </xf>
    <xf numFmtId="0" fontId="20" fillId="0" borderId="0" xfId="5" applyFont="1" applyAlignment="1">
      <alignment horizontal="center"/>
    </xf>
    <xf numFmtId="37" fontId="20" fillId="0" borderId="8" xfId="7" applyNumberFormat="1" applyFont="1" applyBorder="1" applyAlignment="1">
      <alignment horizontal="center"/>
    </xf>
    <xf numFmtId="0" fontId="20" fillId="0" borderId="14" xfId="7" applyFont="1" applyBorder="1" applyAlignment="1">
      <alignment horizontal="center"/>
    </xf>
    <xf numFmtId="0" fontId="20" fillId="0" borderId="27" xfId="7" applyFont="1" applyBorder="1" applyAlignment="1">
      <alignment horizontal="center"/>
    </xf>
    <xf numFmtId="37" fontId="20" fillId="0" borderId="23" xfId="8" applyNumberFormat="1" applyFont="1" applyBorder="1" applyAlignment="1">
      <alignment horizontal="center" wrapText="1"/>
    </xf>
    <xf numFmtId="37" fontId="20" fillId="0" borderId="5" xfId="8" applyNumberFormat="1" applyFont="1" applyBorder="1" applyAlignment="1">
      <alignment horizontal="center" wrapText="1"/>
    </xf>
    <xf numFmtId="37" fontId="20" fillId="0" borderId="28" xfId="8" applyNumberFormat="1" applyFont="1" applyBorder="1" applyAlignment="1">
      <alignment horizontal="center" wrapText="1"/>
    </xf>
    <xf numFmtId="37" fontId="20" fillId="0" borderId="29" xfId="8" applyNumberFormat="1" applyFont="1" applyBorder="1" applyAlignment="1">
      <alignment horizontal="center" wrapText="1"/>
    </xf>
  </cellXfs>
  <cellStyles count="13">
    <cellStyle name="Comma" xfId="1" builtinId="3"/>
    <cellStyle name="Comma 2" xfId="3" xr:uid="{00000000-0005-0000-0000-000001000000}"/>
    <cellStyle name="Comma 3 2" xfId="11" xr:uid="{00000000-0005-0000-0000-000002000000}"/>
    <cellStyle name="Currency 2" xfId="12" xr:uid="{00000000-0005-0000-0000-000003000000}"/>
    <cellStyle name="Normal" xfId="0" builtinId="0"/>
    <cellStyle name="Normal 13" xfId="7" xr:uid="{00000000-0005-0000-0000-000005000000}"/>
    <cellStyle name="Normal 2 9" xfId="8" xr:uid="{00000000-0005-0000-0000-000006000000}"/>
    <cellStyle name="Normal 4 2 2" xfId="9" xr:uid="{00000000-0005-0000-0000-000007000000}"/>
    <cellStyle name="Normal 4 3" xfId="10" xr:uid="{00000000-0005-0000-0000-000008000000}"/>
    <cellStyle name="Normal_Additional_Exhibit_-_Capital_Required_for_Balance_Sheet_Assets(1)" xfId="5" xr:uid="{00000000-0005-0000-0000-000009000000}"/>
    <cellStyle name="Normal_Canadian 2" xfId="6" xr:uid="{00000000-0005-0000-0000-00000A000000}"/>
    <cellStyle name="Normal_PC1 Interim 2007 a7" xfId="4" xr:uid="{00000000-0005-0000-0000-00000B000000}"/>
    <cellStyle name="Percent" xfId="2" builtinId="5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552450</xdr:colOff>
      <xdr:row>115</xdr:row>
      <xdr:rowOff>85725</xdr:rowOff>
    </xdr:from>
    <xdr:to>
      <xdr:col>6</xdr:col>
      <xdr:colOff>161925</xdr:colOff>
      <xdr:row>121</xdr:row>
      <xdr:rowOff>76200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819525" y="23783925"/>
          <a:ext cx="1266825" cy="113347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4</xdr:col>
      <xdr:colOff>552450</xdr:colOff>
      <xdr:row>115</xdr:row>
      <xdr:rowOff>76200</xdr:rowOff>
    </xdr:from>
    <xdr:to>
      <xdr:col>6</xdr:col>
      <xdr:colOff>180975</xdr:colOff>
      <xdr:row>121</xdr:row>
      <xdr:rowOff>95250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V="1">
          <a:off x="3819525" y="23774400"/>
          <a:ext cx="1285875" cy="1162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180975</xdr:colOff>
      <xdr:row>115</xdr:row>
      <xdr:rowOff>85725</xdr:rowOff>
    </xdr:from>
    <xdr:to>
      <xdr:col>5</xdr:col>
      <xdr:colOff>180975</xdr:colOff>
      <xdr:row>121</xdr:row>
      <xdr:rowOff>76200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4257675" y="23783925"/>
          <a:ext cx="0" cy="11334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171449</xdr:colOff>
      <xdr:row>114</xdr:row>
      <xdr:rowOff>76201</xdr:rowOff>
    </xdr:from>
    <xdr:to>
      <xdr:col>6</xdr:col>
      <xdr:colOff>171448</xdr:colOff>
      <xdr:row>115</xdr:row>
      <xdr:rowOff>76202</xdr:rowOff>
    </xdr:to>
    <xdr:sp macro="" textlink="">
      <xdr:nvSpPr>
        <xdr:cNvPr id="5" name="Left Brac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5400000">
          <a:off x="4576760" y="23255290"/>
          <a:ext cx="190501" cy="847724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oneCellAnchor>
    <xdr:from>
      <xdr:col>5</xdr:col>
      <xdr:colOff>514350</xdr:colOff>
      <xdr:row>113</xdr:row>
      <xdr:rowOff>133350</xdr:rowOff>
    </xdr:from>
    <xdr:ext cx="229102" cy="217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4591050" y="23450550"/>
          <a:ext cx="229102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800" baseline="0"/>
            <a:t>x</a:t>
          </a:r>
        </a:p>
      </xdr:txBody>
    </xdr:sp>
    <xdr:clientData/>
  </xdr:oneCellAnchor>
  <xdr:oneCellAnchor>
    <xdr:from>
      <xdr:col>4</xdr:col>
      <xdr:colOff>619125</xdr:colOff>
      <xdr:row>116</xdr:row>
      <xdr:rowOff>9525</xdr:rowOff>
    </xdr:from>
    <xdr:ext cx="288669" cy="217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3886200" y="23898225"/>
          <a:ext cx="288669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800" baseline="0"/>
            <a:t>36</a:t>
          </a:r>
        </a:p>
      </xdr:txBody>
    </xdr:sp>
    <xdr:clientData/>
  </xdr:oneCellAnchor>
  <xdr:oneCellAnchor>
    <xdr:from>
      <xdr:col>5</xdr:col>
      <xdr:colOff>352425</xdr:colOff>
      <xdr:row>116</xdr:row>
      <xdr:rowOff>9525</xdr:rowOff>
    </xdr:from>
    <xdr:ext cx="288669" cy="217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4429125" y="23898225"/>
          <a:ext cx="288669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800" baseline="0"/>
            <a:t>36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6"/>
  <sheetViews>
    <sheetView tabSelected="1" view="pageLayout" zoomScaleNormal="100" workbookViewId="0">
      <selection activeCell="G4" sqref="G4"/>
    </sheetView>
  </sheetViews>
  <sheetFormatPr defaultColWidth="9.33203125" defaultRowHeight="14.4"/>
  <cols>
    <col min="1" max="1" width="15.33203125" customWidth="1"/>
    <col min="2" max="6" width="11.6640625" customWidth="1"/>
    <col min="7" max="7" width="12.6640625" customWidth="1"/>
    <col min="8" max="20" width="11.6640625" customWidth="1"/>
  </cols>
  <sheetData>
    <row r="1" spans="1:11" ht="18">
      <c r="A1" s="7" t="s">
        <v>45</v>
      </c>
      <c r="B1" s="7"/>
      <c r="J1" s="152" t="s">
        <v>46</v>
      </c>
      <c r="K1" s="153" t="s">
        <v>17</v>
      </c>
    </row>
    <row r="2" spans="1:11">
      <c r="J2" s="154" t="s">
        <v>47</v>
      </c>
      <c r="K2" s="155">
        <v>1</v>
      </c>
    </row>
    <row r="3" spans="1:11">
      <c r="A3" s="6" t="s">
        <v>48</v>
      </c>
      <c r="B3" s="6"/>
    </row>
    <row r="4" spans="1:11">
      <c r="A4" s="48" t="s">
        <v>0</v>
      </c>
      <c r="B4" s="48"/>
      <c r="C4" s="154" t="s">
        <v>49</v>
      </c>
      <c r="D4" s="154" t="s">
        <v>50</v>
      </c>
      <c r="E4" s="154" t="s">
        <v>51</v>
      </c>
    </row>
    <row r="5" spans="1:11">
      <c r="A5" s="48" t="s">
        <v>52</v>
      </c>
      <c r="B5" s="48"/>
      <c r="C5" s="156">
        <v>42369</v>
      </c>
      <c r="D5" s="156">
        <f>C5</f>
        <v>42369</v>
      </c>
      <c r="E5" s="156">
        <f>D5</f>
        <v>42369</v>
      </c>
    </row>
    <row r="6" spans="1:11" s="8" customFormat="1">
      <c r="A6" s="48" t="s">
        <v>53</v>
      </c>
      <c r="B6" s="48"/>
      <c r="C6" s="156">
        <v>42735</v>
      </c>
      <c r="D6" s="156">
        <v>42916</v>
      </c>
      <c r="E6" s="156">
        <v>43281</v>
      </c>
    </row>
    <row r="7" spans="1:11">
      <c r="A7" s="48" t="s">
        <v>193</v>
      </c>
      <c r="B7" s="48"/>
      <c r="C7" s="157">
        <v>2.5000000000000001E-2</v>
      </c>
      <c r="D7" s="157">
        <v>6.6000000000000003E-2</v>
      </c>
      <c r="E7" s="157">
        <v>4.65E-2</v>
      </c>
      <c r="G7" s="9"/>
    </row>
    <row r="8" spans="1:11">
      <c r="A8" t="s">
        <v>140</v>
      </c>
      <c r="C8">
        <v>2</v>
      </c>
      <c r="D8">
        <v>2</v>
      </c>
      <c r="E8">
        <v>2</v>
      </c>
      <c r="G8" s="9"/>
    </row>
    <row r="9" spans="1:11">
      <c r="A9" t="s">
        <v>54</v>
      </c>
      <c r="C9" s="2">
        <v>1250</v>
      </c>
      <c r="D9" s="2">
        <v>1875</v>
      </c>
      <c r="E9" s="2">
        <v>1125</v>
      </c>
      <c r="G9" s="9"/>
    </row>
    <row r="10" spans="1:11">
      <c r="A10" t="s">
        <v>55</v>
      </c>
      <c r="C10" s="2">
        <v>1265</v>
      </c>
      <c r="D10" s="2">
        <v>2010</v>
      </c>
      <c r="E10" s="2">
        <v>1140</v>
      </c>
      <c r="G10" s="9"/>
    </row>
    <row r="11" spans="1:11">
      <c r="A11" s="48" t="s">
        <v>1</v>
      </c>
      <c r="B11" s="48"/>
      <c r="C11" s="49">
        <f>C9*C7/C8</f>
        <v>15.625</v>
      </c>
      <c r="D11" s="49">
        <f>D9*D7/D8</f>
        <v>61.875</v>
      </c>
      <c r="E11" s="49">
        <f>E9*E7/E8</f>
        <v>26.15625</v>
      </c>
      <c r="F11" s="48"/>
      <c r="G11" s="9"/>
    </row>
    <row r="12" spans="1:11" ht="15.6">
      <c r="A12" s="48" t="s">
        <v>20</v>
      </c>
      <c r="B12" s="48"/>
      <c r="C12" s="50">
        <f>IRR(C18:C23,0.01)</f>
        <v>6.4419603088703425E-3</v>
      </c>
      <c r="D12" s="50">
        <f>IRR(D18:D23,0.01)</f>
        <v>8.586665417154471E-3</v>
      </c>
      <c r="E12" s="50">
        <f>IRR(E18:E23,0.01)</f>
        <v>2.0417790400847124E-2</v>
      </c>
      <c r="F12" s="48"/>
      <c r="G12" s="9"/>
    </row>
    <row r="13" spans="1:11" ht="15.6">
      <c r="A13" s="48" t="s">
        <v>56</v>
      </c>
      <c r="B13" s="48"/>
      <c r="C13" s="50">
        <f>C12*2</f>
        <v>1.2883920617740685E-2</v>
      </c>
      <c r="D13" s="50">
        <f>D12*2</f>
        <v>1.7173330834308942E-2</v>
      </c>
      <c r="E13" s="50">
        <f>E12*2</f>
        <v>4.0835580801694249E-2</v>
      </c>
      <c r="F13" s="48"/>
      <c r="G13" s="9"/>
    </row>
    <row r="14" spans="1:11">
      <c r="A14" s="48"/>
      <c r="B14" s="48"/>
      <c r="C14" s="48"/>
      <c r="D14" s="48"/>
      <c r="E14" s="48"/>
      <c r="F14" s="48"/>
      <c r="G14" s="9"/>
    </row>
    <row r="15" spans="1:11">
      <c r="A15" s="6" t="s">
        <v>57</v>
      </c>
      <c r="G15" s="9"/>
    </row>
    <row r="16" spans="1:11">
      <c r="C16" s="22" t="s">
        <v>58</v>
      </c>
      <c r="D16" s="22"/>
      <c r="E16" s="22"/>
      <c r="G16" s="9"/>
    </row>
    <row r="17" spans="1:11">
      <c r="A17" s="19" t="s">
        <v>141</v>
      </c>
      <c r="C17" s="1" t="s">
        <v>49</v>
      </c>
      <c r="D17" s="1" t="s">
        <v>50</v>
      </c>
      <c r="E17" s="1" t="s">
        <v>51</v>
      </c>
      <c r="G17" s="9"/>
    </row>
    <row r="18" spans="1:11" hidden="1">
      <c r="A18" s="21">
        <v>2012</v>
      </c>
      <c r="C18" s="15">
        <f>-C10</f>
        <v>-1265</v>
      </c>
      <c r="D18" s="15">
        <f>-D10</f>
        <v>-2010</v>
      </c>
      <c r="E18" s="15">
        <f>-E10</f>
        <v>-1140</v>
      </c>
      <c r="G18" s="9"/>
    </row>
    <row r="19" spans="1:11">
      <c r="A19" s="158">
        <v>2016.5</v>
      </c>
      <c r="B19" s="14"/>
      <c r="C19" s="2">
        <f>C11</f>
        <v>15.625</v>
      </c>
      <c r="D19" s="2">
        <f>D11</f>
        <v>61.875</v>
      </c>
      <c r="E19" s="2">
        <f>E11</f>
        <v>26.15625</v>
      </c>
    </row>
    <row r="20" spans="1:11">
      <c r="A20" s="158">
        <f>A19+0.5</f>
        <v>2017</v>
      </c>
      <c r="B20" s="14"/>
      <c r="C20" s="2">
        <f>C11+C9</f>
        <v>1265.625</v>
      </c>
      <c r="D20" s="2">
        <f>D11</f>
        <v>61.875</v>
      </c>
      <c r="E20" s="2">
        <f>E11</f>
        <v>26.15625</v>
      </c>
    </row>
    <row r="21" spans="1:11">
      <c r="A21" s="158">
        <f t="shared" ref="A21:A23" si="0">A20+0.5</f>
        <v>2017.5</v>
      </c>
      <c r="B21" s="14"/>
      <c r="C21" s="2">
        <v>0</v>
      </c>
      <c r="D21" s="2">
        <f>D11+D9</f>
        <v>1936.875</v>
      </c>
      <c r="E21" s="2">
        <f>E11</f>
        <v>26.15625</v>
      </c>
    </row>
    <row r="22" spans="1:11">
      <c r="A22" s="158">
        <f t="shared" si="0"/>
        <v>2018</v>
      </c>
      <c r="B22" s="14"/>
      <c r="C22" s="2">
        <v>0</v>
      </c>
      <c r="D22" s="2">
        <v>0</v>
      </c>
      <c r="E22" s="2">
        <f>E11</f>
        <v>26.15625</v>
      </c>
    </row>
    <row r="23" spans="1:11">
      <c r="A23" s="158">
        <f t="shared" si="0"/>
        <v>2018.5</v>
      </c>
      <c r="B23" s="14"/>
      <c r="C23" s="2">
        <v>0</v>
      </c>
      <c r="D23" s="2">
        <v>0</v>
      </c>
      <c r="E23" s="2">
        <f>E9+E11</f>
        <v>1151.15625</v>
      </c>
    </row>
    <row r="24" spans="1:11">
      <c r="A24" s="14"/>
      <c r="B24" s="14"/>
      <c r="C24" s="2"/>
      <c r="D24" s="2"/>
      <c r="E24" s="2"/>
    </row>
    <row r="25" spans="1:11">
      <c r="A25" s="6" t="s">
        <v>142</v>
      </c>
    </row>
    <row r="26" spans="1:11">
      <c r="H26" s="1" t="s">
        <v>60</v>
      </c>
      <c r="I26" s="10">
        <v>1E-3</v>
      </c>
    </row>
    <row r="27" spans="1:11" ht="100.8">
      <c r="B27" s="42" t="s">
        <v>141</v>
      </c>
      <c r="C27" s="42" t="s">
        <v>143</v>
      </c>
      <c r="D27" s="42" t="s">
        <v>58</v>
      </c>
      <c r="E27" s="42" t="s">
        <v>144</v>
      </c>
      <c r="F27" s="42" t="s">
        <v>61</v>
      </c>
      <c r="G27" s="42" t="s">
        <v>145</v>
      </c>
      <c r="H27" s="42" t="s">
        <v>63</v>
      </c>
      <c r="I27" s="42" t="s">
        <v>146</v>
      </c>
      <c r="J27" s="42" t="s">
        <v>62</v>
      </c>
      <c r="K27" s="42" t="s">
        <v>147</v>
      </c>
    </row>
    <row r="28" spans="1:11">
      <c r="B28" s="44" t="s">
        <v>4</v>
      </c>
      <c r="C28" s="44" t="s">
        <v>5</v>
      </c>
      <c r="D28" s="44" t="s">
        <v>6</v>
      </c>
      <c r="E28" s="44" t="s">
        <v>7</v>
      </c>
      <c r="F28" s="44" t="s">
        <v>8</v>
      </c>
      <c r="G28" s="44" t="s">
        <v>9</v>
      </c>
      <c r="H28" s="44" t="s">
        <v>10</v>
      </c>
      <c r="I28" s="44" t="s">
        <v>11</v>
      </c>
      <c r="J28" s="44" t="s">
        <v>12</v>
      </c>
      <c r="K28" s="44" t="s">
        <v>13</v>
      </c>
    </row>
    <row r="29" spans="1:11">
      <c r="B29" s="32"/>
      <c r="C29" s="32"/>
      <c r="D29" s="32"/>
      <c r="E29" s="32"/>
      <c r="F29" s="32"/>
      <c r="G29" s="32"/>
      <c r="H29" s="32"/>
      <c r="I29" s="32"/>
      <c r="J29" s="32"/>
      <c r="K29" s="32"/>
    </row>
    <row r="30" spans="1:11">
      <c r="A30" s="19" t="s">
        <v>49</v>
      </c>
      <c r="B30" s="159">
        <f>A19</f>
        <v>2016.5</v>
      </c>
      <c r="C30" s="34">
        <f>B30-2016</f>
        <v>0.5</v>
      </c>
      <c r="D30" s="35">
        <f>C19</f>
        <v>15.625</v>
      </c>
      <c r="E30" s="161">
        <f>1/(1+$A$32)^C30</f>
        <v>0.9936196270832387</v>
      </c>
      <c r="F30" s="35">
        <f>D30*E30</f>
        <v>15.525306673175605</v>
      </c>
      <c r="G30" s="35">
        <f>C30*F30</f>
        <v>7.7626533365878023</v>
      </c>
      <c r="H30" s="36">
        <f>1/(1+$A$32-$I$26)^$C30</f>
        <v>0.99411048094528631</v>
      </c>
      <c r="I30" s="36">
        <f>1/(1+$A$32+$I$26)^$C30</f>
        <v>0.99312949959868568</v>
      </c>
      <c r="J30" s="35">
        <f>D30*H30</f>
        <v>15.532976264770099</v>
      </c>
      <c r="K30" s="35">
        <f>D30*I30</f>
        <v>15.517648431229464</v>
      </c>
    </row>
    <row r="31" spans="1:11">
      <c r="A31" s="19" t="s">
        <v>64</v>
      </c>
      <c r="B31" s="159">
        <f>A20</f>
        <v>2017</v>
      </c>
      <c r="C31" s="34">
        <f t="shared" ref="C31:C34" si="1">B31-2016</f>
        <v>1</v>
      </c>
      <c r="D31" s="35">
        <f>C20</f>
        <v>1265.625</v>
      </c>
      <c r="E31" s="161">
        <f t="shared" ref="E31:E34" si="2">1/(1+$A$32)^C31</f>
        <v>0.98727996332503432</v>
      </c>
      <c r="F31" s="35">
        <f t="shared" ref="F31:F34" si="3">D31*E31</f>
        <v>1249.5262035832466</v>
      </c>
      <c r="G31" s="35">
        <f t="shared" ref="G31:G34" si="4">C31*F31</f>
        <v>1249.5262035832466</v>
      </c>
      <c r="H31" s="36">
        <f t="shared" ref="H31:H34" si="5">1/(1+$A$32-$I$26)^$C31</f>
        <v>0.98825564832526858</v>
      </c>
      <c r="I31" s="36">
        <f t="shared" ref="I31:I34" si="6">1/(1+$A$32+$I$26)^$C31</f>
        <v>0.98630620297313587</v>
      </c>
      <c r="J31" s="35">
        <f>D31*H31</f>
        <v>1250.761054911668</v>
      </c>
      <c r="K31" s="35">
        <f>D31*I31</f>
        <v>1248.293788137875</v>
      </c>
    </row>
    <row r="32" spans="1:11">
      <c r="A32" s="23">
        <f>C13</f>
        <v>1.2883920617740685E-2</v>
      </c>
      <c r="B32" s="159">
        <f>A21</f>
        <v>2017.5</v>
      </c>
      <c r="C32" s="34">
        <f t="shared" si="1"/>
        <v>1.5</v>
      </c>
      <c r="D32" s="35">
        <f>C21</f>
        <v>0</v>
      </c>
      <c r="E32" s="161">
        <f t="shared" si="2"/>
        <v>0.98098074898577425</v>
      </c>
      <c r="F32" s="35">
        <f t="shared" si="3"/>
        <v>0</v>
      </c>
      <c r="G32" s="35">
        <f t="shared" si="4"/>
        <v>0</v>
      </c>
      <c r="H32" s="36">
        <f t="shared" si="5"/>
        <v>0.98243529785352846</v>
      </c>
      <c r="I32" s="36">
        <f t="shared" si="6"/>
        <v>0.97952978580979011</v>
      </c>
      <c r="J32" s="35">
        <f>D32*H32</f>
        <v>0</v>
      </c>
      <c r="K32" s="35">
        <f>D32*I32</f>
        <v>0</v>
      </c>
    </row>
    <row r="33" spans="1:11">
      <c r="A33" s="19"/>
      <c r="B33" s="159">
        <f>A22</f>
        <v>2018</v>
      </c>
      <c r="C33" s="34">
        <f t="shared" si="1"/>
        <v>2</v>
      </c>
      <c r="D33" s="35">
        <f>C22</f>
        <v>0</v>
      </c>
      <c r="E33" s="161">
        <f t="shared" si="2"/>
        <v>0.97472172598308116</v>
      </c>
      <c r="F33" s="35">
        <f t="shared" si="3"/>
        <v>0</v>
      </c>
      <c r="G33" s="35">
        <f t="shared" si="4"/>
        <v>0</v>
      </c>
      <c r="H33" s="36">
        <f t="shared" si="5"/>
        <v>0.97664922644679686</v>
      </c>
      <c r="I33" s="36">
        <f t="shared" si="6"/>
        <v>0.97279992602328458</v>
      </c>
      <c r="J33" s="35">
        <f>D33*H33</f>
        <v>0</v>
      </c>
      <c r="K33" s="35">
        <f>D33*I33</f>
        <v>0</v>
      </c>
    </row>
    <row r="34" spans="1:11">
      <c r="A34" s="19"/>
      <c r="B34" s="160">
        <f>A23</f>
        <v>2018.5</v>
      </c>
      <c r="C34" s="37">
        <f t="shared" si="1"/>
        <v>2.5</v>
      </c>
      <c r="D34" s="38">
        <f>C23</f>
        <v>0</v>
      </c>
      <c r="E34" s="162">
        <f t="shared" si="2"/>
        <v>0.96850263788123991</v>
      </c>
      <c r="F34" s="38">
        <f t="shared" si="3"/>
        <v>0</v>
      </c>
      <c r="G34" s="38">
        <f t="shared" si="4"/>
        <v>0</v>
      </c>
      <c r="H34" s="39">
        <f t="shared" si="5"/>
        <v>0.97089723221786706</v>
      </c>
      <c r="I34" s="39">
        <f t="shared" si="6"/>
        <v>0.9661163037411431</v>
      </c>
      <c r="J34" s="38">
        <f>D34*H34</f>
        <v>0</v>
      </c>
      <c r="K34" s="38">
        <f>D34*I34</f>
        <v>0</v>
      </c>
    </row>
    <row r="35" spans="1:11">
      <c r="A35" s="19"/>
      <c r="B35" s="41" t="s">
        <v>2</v>
      </c>
      <c r="C35" s="37"/>
      <c r="D35" s="38"/>
      <c r="E35" s="39"/>
      <c r="F35" s="38">
        <f>SUM(F30:F34)</f>
        <v>1265.0515102564223</v>
      </c>
      <c r="G35" s="38">
        <f>SUM(G30:G34)</f>
        <v>1257.2888569198344</v>
      </c>
      <c r="H35" s="39"/>
      <c r="I35" s="39"/>
      <c r="J35" s="38">
        <f>SUM(J30:J34)</f>
        <v>1266.294031176438</v>
      </c>
      <c r="K35" s="38">
        <f>SUM(K30:K34)</f>
        <v>1263.8114365691044</v>
      </c>
    </row>
    <row r="36" spans="1:11">
      <c r="A36" s="19"/>
      <c r="F36" s="11" t="s">
        <v>134</v>
      </c>
      <c r="G36" s="3">
        <f>SUM(G30:G34)/SUM(F30:F34)</f>
        <v>0.99386376501379425</v>
      </c>
      <c r="J36" s="11" t="s">
        <v>72</v>
      </c>
      <c r="K36" s="13">
        <f>(SUM(J30:J34)-SUM(K30:K34))/(2*I26*SUM(F30:F34))</f>
        <v>0.98122273567751883</v>
      </c>
    </row>
    <row r="37" spans="1:11">
      <c r="A37" s="19"/>
      <c r="F37" s="12" t="s">
        <v>65</v>
      </c>
      <c r="G37" s="13">
        <f>G36/(1+A32)</f>
        <v>0.98122178147289929</v>
      </c>
    </row>
    <row r="38" spans="1:11">
      <c r="A38" s="19"/>
      <c r="H38" s="1"/>
      <c r="I38" s="10"/>
    </row>
    <row r="39" spans="1:11">
      <c r="A39" s="19"/>
      <c r="H39" s="1" t="s">
        <v>60</v>
      </c>
      <c r="I39" s="10">
        <v>1E-3</v>
      </c>
    </row>
    <row r="40" spans="1:11" ht="100.8">
      <c r="A40" s="19"/>
      <c r="B40" s="42" t="s">
        <v>141</v>
      </c>
      <c r="C40" s="42" t="s">
        <v>143</v>
      </c>
      <c r="D40" s="42" t="s">
        <v>58</v>
      </c>
      <c r="E40" s="42" t="s">
        <v>144</v>
      </c>
      <c r="F40" s="42" t="s">
        <v>61</v>
      </c>
      <c r="G40" s="42" t="s">
        <v>145</v>
      </c>
      <c r="H40" s="42" t="s">
        <v>63</v>
      </c>
      <c r="I40" s="42" t="s">
        <v>146</v>
      </c>
      <c r="J40" s="42" t="s">
        <v>62</v>
      </c>
      <c r="K40" s="42" t="s">
        <v>147</v>
      </c>
    </row>
    <row r="41" spans="1:11">
      <c r="A41" s="19"/>
      <c r="B41" s="44" t="s">
        <v>4</v>
      </c>
      <c r="C41" s="44" t="s">
        <v>5</v>
      </c>
      <c r="D41" s="44" t="s">
        <v>6</v>
      </c>
      <c r="E41" s="44" t="s">
        <v>7</v>
      </c>
      <c r="F41" s="44" t="s">
        <v>8</v>
      </c>
      <c r="G41" s="44" t="s">
        <v>9</v>
      </c>
      <c r="H41" s="44" t="s">
        <v>10</v>
      </c>
      <c r="I41" s="44" t="s">
        <v>11</v>
      </c>
      <c r="J41" s="44" t="s">
        <v>12</v>
      </c>
      <c r="K41" s="44" t="s">
        <v>13</v>
      </c>
    </row>
    <row r="42" spans="1:11">
      <c r="A42" s="19"/>
      <c r="B42" s="32"/>
      <c r="C42" s="32"/>
      <c r="D42" s="32"/>
      <c r="E42" s="32"/>
      <c r="F42" s="32"/>
      <c r="G42" s="32"/>
      <c r="H42" s="32"/>
      <c r="I42" s="32"/>
      <c r="J42" s="32"/>
      <c r="K42" s="32"/>
    </row>
    <row r="43" spans="1:11">
      <c r="A43" s="19" t="s">
        <v>50</v>
      </c>
      <c r="B43" s="159">
        <f>A19</f>
        <v>2016.5</v>
      </c>
      <c r="C43" s="159">
        <f t="shared" ref="C43:C47" si="7">B43-2016</f>
        <v>0.5</v>
      </c>
      <c r="D43" s="35">
        <f>D19</f>
        <v>61.875</v>
      </c>
      <c r="E43" s="161">
        <f>1/(1+$A$45)^C43</f>
        <v>0.99152237148417788</v>
      </c>
      <c r="F43" s="35">
        <f>D43*E43</f>
        <v>61.350446735583503</v>
      </c>
      <c r="G43" s="35">
        <f>C43*F43</f>
        <v>30.675223367791752</v>
      </c>
      <c r="H43" s="36">
        <f>1/(1+$A$45-$I$26)^$C43</f>
        <v>0.99201012220839579</v>
      </c>
      <c r="I43" s="36">
        <f>1/(1+$A$45+$I$26)^$C43</f>
        <v>0.99103533950383538</v>
      </c>
      <c r="J43" s="35">
        <f>D43*H43</f>
        <v>61.380626311644491</v>
      </c>
      <c r="K43" s="35">
        <f>D43*I43</f>
        <v>61.320311631799811</v>
      </c>
    </row>
    <row r="44" spans="1:11">
      <c r="A44" s="19" t="s">
        <v>64</v>
      </c>
      <c r="B44" s="159">
        <f>A20</f>
        <v>2017</v>
      </c>
      <c r="C44" s="159">
        <f t="shared" si="7"/>
        <v>1</v>
      </c>
      <c r="D44" s="35">
        <f>D20</f>
        <v>61.875</v>
      </c>
      <c r="E44" s="161">
        <f t="shared" ref="E44:E47" si="8">1/(1+$A$45)^C44</f>
        <v>0.98311661315360777</v>
      </c>
      <c r="F44" s="35">
        <f t="shared" ref="F44:F47" si="9">D44*E44</f>
        <v>60.830340438879482</v>
      </c>
      <c r="G44" s="35">
        <f t="shared" ref="G44:G47" si="10">C44*F44</f>
        <v>60.830340438879482</v>
      </c>
      <c r="H44" s="36">
        <f t="shared" ref="H44:H47" si="11">1/(1+$A$45-$I$26)^$C44</f>
        <v>0.98408408256391633</v>
      </c>
      <c r="I44" s="36">
        <f t="shared" ref="I44:I47" si="12">1/(1+$A$45+$I$26)^$C44</f>
        <v>0.98215104414548227</v>
      </c>
      <c r="J44" s="35">
        <f>D44*H44</f>
        <v>60.890202608642326</v>
      </c>
      <c r="K44" s="35">
        <f>D44*I44</f>
        <v>60.770595856501714</v>
      </c>
    </row>
    <row r="45" spans="1:11">
      <c r="A45" s="23">
        <f>D13</f>
        <v>1.7173330834308942E-2</v>
      </c>
      <c r="B45" s="159">
        <f>A21</f>
        <v>2017.5</v>
      </c>
      <c r="C45" s="159">
        <f t="shared" si="7"/>
        <v>1.5</v>
      </c>
      <c r="D45" s="35">
        <f>D21</f>
        <v>1936.875</v>
      </c>
      <c r="E45" s="161">
        <f t="shared" si="8"/>
        <v>0.97478211571955808</v>
      </c>
      <c r="F45" s="35">
        <f t="shared" si="9"/>
        <v>1888.0311103843192</v>
      </c>
      <c r="G45" s="35">
        <f t="shared" si="10"/>
        <v>2832.0466655764785</v>
      </c>
      <c r="H45" s="36">
        <f t="shared" si="11"/>
        <v>0.97622137100756756</v>
      </c>
      <c r="I45" s="36">
        <f t="shared" si="12"/>
        <v>0.97334639347876439</v>
      </c>
      <c r="J45" s="35">
        <f>D45*H45</f>
        <v>1890.8187679702824</v>
      </c>
      <c r="K45" s="35">
        <f>D45*I45</f>
        <v>1885.2502958691819</v>
      </c>
    </row>
    <row r="46" spans="1:11">
      <c r="A46" s="19"/>
      <c r="B46" s="159">
        <f>A22</f>
        <v>2018</v>
      </c>
      <c r="C46" s="159">
        <f t="shared" si="7"/>
        <v>2</v>
      </c>
      <c r="D46" s="35">
        <f>D22</f>
        <v>0</v>
      </c>
      <c r="E46" s="161">
        <f t="shared" si="8"/>
        <v>0.96651827505862042</v>
      </c>
      <c r="F46" s="35">
        <f t="shared" si="9"/>
        <v>0</v>
      </c>
      <c r="G46" s="35">
        <f t="shared" si="10"/>
        <v>0</v>
      </c>
      <c r="H46" s="36">
        <f t="shared" si="11"/>
        <v>0.96842148155566476</v>
      </c>
      <c r="I46" s="36">
        <f t="shared" si="12"/>
        <v>0.96462067351606118</v>
      </c>
      <c r="J46" s="35">
        <f>D46*H46</f>
        <v>0</v>
      </c>
      <c r="K46" s="35">
        <f>D46*I46</f>
        <v>0</v>
      </c>
    </row>
    <row r="47" spans="1:11">
      <c r="A47" s="19"/>
      <c r="B47" s="160">
        <f>A23</f>
        <v>2018.5</v>
      </c>
      <c r="C47" s="160">
        <f t="shared" si="7"/>
        <v>2.5</v>
      </c>
      <c r="D47" s="38">
        <f>D23</f>
        <v>0</v>
      </c>
      <c r="E47" s="162">
        <f t="shared" si="8"/>
        <v>0.95832449216892024</v>
      </c>
      <c r="F47" s="38">
        <f t="shared" si="9"/>
        <v>0</v>
      </c>
      <c r="G47" s="38">
        <f t="shared" si="10"/>
        <v>0</v>
      </c>
      <c r="H47" s="39">
        <f t="shared" si="11"/>
        <v>0.96068391226727057</v>
      </c>
      <c r="I47" s="39">
        <f t="shared" si="12"/>
        <v>0.95597317667040793</v>
      </c>
      <c r="J47" s="38">
        <f>D47*H47</f>
        <v>0</v>
      </c>
      <c r="K47" s="38">
        <f>D47*I47</f>
        <v>0</v>
      </c>
    </row>
    <row r="48" spans="1:11">
      <c r="A48" s="19"/>
      <c r="B48" s="41" t="s">
        <v>2</v>
      </c>
      <c r="C48" s="37"/>
      <c r="D48" s="38"/>
      <c r="E48" s="39"/>
      <c r="F48" s="38">
        <f>SUM(F43:F47)</f>
        <v>2010.2118975587821</v>
      </c>
      <c r="G48" s="38">
        <f>SUM(G43:G47)</f>
        <v>2923.5522293831496</v>
      </c>
      <c r="H48" s="39"/>
      <c r="I48" s="39"/>
      <c r="J48" s="38">
        <f>SUM(J43:J47)</f>
        <v>2013.0895968905693</v>
      </c>
      <c r="K48" s="38">
        <f>SUM(K43:K47)</f>
        <v>2007.3412033574834</v>
      </c>
    </row>
    <row r="49" spans="1:11">
      <c r="A49" s="19"/>
      <c r="F49" s="11" t="s">
        <v>134</v>
      </c>
      <c r="G49" s="3">
        <f>SUM(G43:G47)/SUM(F43:F47)</f>
        <v>1.4543502766715963</v>
      </c>
      <c r="J49" s="11" t="s">
        <v>72</v>
      </c>
      <c r="K49" s="13">
        <f>(SUM(J43:J47)-SUM(K43:K47))/(2*I26*SUM(F43:F47))</f>
        <v>1.4297979083863603</v>
      </c>
    </row>
    <row r="50" spans="1:11">
      <c r="A50" s="19"/>
      <c r="F50" s="12" t="s">
        <v>65</v>
      </c>
      <c r="G50" s="13">
        <f>G49/(1+A45)</f>
        <v>1.4297959183403921</v>
      </c>
    </row>
    <row r="51" spans="1:11">
      <c r="A51" s="19"/>
      <c r="H51" s="1"/>
      <c r="I51" s="10"/>
    </row>
    <row r="52" spans="1:11">
      <c r="A52" s="19"/>
      <c r="H52" s="1" t="s">
        <v>60</v>
      </c>
      <c r="I52" s="10">
        <v>1E-3</v>
      </c>
    </row>
    <row r="53" spans="1:11" ht="100.8">
      <c r="A53" s="19"/>
      <c r="B53" s="42" t="s">
        <v>141</v>
      </c>
      <c r="C53" s="42" t="s">
        <v>143</v>
      </c>
      <c r="D53" s="42" t="s">
        <v>58</v>
      </c>
      <c r="E53" s="42" t="s">
        <v>144</v>
      </c>
      <c r="F53" s="42" t="s">
        <v>61</v>
      </c>
      <c r="G53" s="42" t="s">
        <v>145</v>
      </c>
      <c r="H53" s="42" t="s">
        <v>63</v>
      </c>
      <c r="I53" s="42" t="s">
        <v>146</v>
      </c>
      <c r="J53" s="42" t="s">
        <v>62</v>
      </c>
      <c r="K53" s="42" t="s">
        <v>147</v>
      </c>
    </row>
    <row r="54" spans="1:11">
      <c r="A54" s="19"/>
      <c r="B54" s="44" t="s">
        <v>4</v>
      </c>
      <c r="C54" s="44" t="s">
        <v>5</v>
      </c>
      <c r="D54" s="44" t="s">
        <v>6</v>
      </c>
      <c r="E54" s="44" t="s">
        <v>7</v>
      </c>
      <c r="F54" s="44" t="s">
        <v>8</v>
      </c>
      <c r="G54" s="44" t="s">
        <v>9</v>
      </c>
      <c r="H54" s="44" t="s">
        <v>10</v>
      </c>
      <c r="I54" s="44" t="s">
        <v>11</v>
      </c>
      <c r="J54" s="44" t="s">
        <v>12</v>
      </c>
      <c r="K54" s="44" t="s">
        <v>13</v>
      </c>
    </row>
    <row r="55" spans="1:11">
      <c r="A55" s="19"/>
      <c r="B55" s="32"/>
      <c r="C55" s="32"/>
      <c r="D55" s="32"/>
      <c r="E55" s="32"/>
      <c r="F55" s="32"/>
      <c r="G55" s="32"/>
      <c r="H55" s="32"/>
      <c r="I55" s="32"/>
      <c r="J55" s="32"/>
      <c r="K55" s="32"/>
    </row>
    <row r="56" spans="1:11">
      <c r="A56" s="19" t="s">
        <v>51</v>
      </c>
      <c r="B56" s="159">
        <f>A19</f>
        <v>2016.5</v>
      </c>
      <c r="C56" s="34">
        <f t="shared" ref="C56:C60" si="13">B56-2016</f>
        <v>0.5</v>
      </c>
      <c r="D56" s="35">
        <f>E19</f>
        <v>26.15625</v>
      </c>
      <c r="E56" s="161">
        <f>1/(1+$A$58)^C56</f>
        <v>0.98018699252313268</v>
      </c>
      <c r="F56" s="35">
        <f>D56*E56</f>
        <v>25.638016023183191</v>
      </c>
      <c r="G56" s="35">
        <f>C56*F56</f>
        <v>12.819008011591595</v>
      </c>
      <c r="H56" s="36">
        <f>1/(1+$A$58-$I$26)^$C56</f>
        <v>0.98065819752166006</v>
      </c>
      <c r="I56" s="36">
        <f>1/(1+$A$58+$I$26)^$C56</f>
        <v>0.97971646611269136</v>
      </c>
      <c r="J56" s="35">
        <f>D56*H56</f>
        <v>25.650340978925922</v>
      </c>
      <c r="K56" s="35">
        <f>D56*I56</f>
        <v>25.625708816760085</v>
      </c>
    </row>
    <row r="57" spans="1:11">
      <c r="A57" s="19" t="s">
        <v>64</v>
      </c>
      <c r="B57" s="159">
        <f>A20</f>
        <v>2017</v>
      </c>
      <c r="C57" s="34">
        <f t="shared" si="13"/>
        <v>1</v>
      </c>
      <c r="D57" s="35">
        <f>E20</f>
        <v>26.15625</v>
      </c>
      <c r="E57" s="161">
        <f t="shared" ref="E57:E60" si="14">1/(1+$A$58)^C57</f>
        <v>0.96076654031154374</v>
      </c>
      <c r="F57" s="35">
        <f t="shared" ref="F57:F60" si="15">D57*E57</f>
        <v>25.130049820023817</v>
      </c>
      <c r="G57" s="35">
        <f t="shared" ref="G57:G60" si="16">C57*F57</f>
        <v>25.130049820023817</v>
      </c>
      <c r="H57" s="36">
        <f t="shared" ref="H57:H60" si="17">1/(1+$A$58-$I$26)^$C57</f>
        <v>0.96169050036643111</v>
      </c>
      <c r="I57" s="36">
        <f t="shared" ref="I57:I60" si="18">1/(1+$A$58+$I$26)^$C57</f>
        <v>0.95984435397234025</v>
      </c>
      <c r="J57" s="35">
        <f>D57*H57</f>
        <v>25.154217150209465</v>
      </c>
      <c r="K57" s="35">
        <f>D57*I57</f>
        <v>25.105928883589023</v>
      </c>
    </row>
    <row r="58" spans="1:11">
      <c r="A58" s="23">
        <f>E13</f>
        <v>4.0835580801694249E-2</v>
      </c>
      <c r="B58" s="159">
        <f>A21</f>
        <v>2017.5</v>
      </c>
      <c r="C58" s="34">
        <f t="shared" si="13"/>
        <v>1.5</v>
      </c>
      <c r="D58" s="35">
        <f>E21</f>
        <v>26.15625</v>
      </c>
      <c r="E58" s="161">
        <f t="shared" si="14"/>
        <v>0.94173086566482711</v>
      </c>
      <c r="F58" s="35">
        <f t="shared" si="15"/>
        <v>24.632147955045635</v>
      </c>
      <c r="G58" s="35">
        <f t="shared" si="16"/>
        <v>36.948221932568451</v>
      </c>
      <c r="H58" s="36">
        <f t="shared" si="17"/>
        <v>0.94308967266304766</v>
      </c>
      <c r="I58" s="36">
        <f t="shared" si="18"/>
        <v>0.94037531849200051</v>
      </c>
      <c r="J58" s="35">
        <f>D58*H58</f>
        <v>24.66768925059284</v>
      </c>
      <c r="K58" s="35">
        <f>D58*I58</f>
        <v>24.596691924306388</v>
      </c>
    </row>
    <row r="59" spans="1:11">
      <c r="A59" s="19"/>
      <c r="B59" s="159">
        <f>A22</f>
        <v>2018</v>
      </c>
      <c r="C59" s="34">
        <f t="shared" si="13"/>
        <v>2</v>
      </c>
      <c r="D59" s="35">
        <f>E22</f>
        <v>26.15625</v>
      </c>
      <c r="E59" s="161">
        <f t="shared" si="14"/>
        <v>0.92307234498221324</v>
      </c>
      <c r="F59" s="35">
        <f t="shared" si="15"/>
        <v>24.144111023441017</v>
      </c>
      <c r="G59" s="35">
        <f t="shared" si="16"/>
        <v>48.288222046882034</v>
      </c>
      <c r="H59" s="36">
        <f t="shared" si="17"/>
        <v>0.92484861849503663</v>
      </c>
      <c r="I59" s="36">
        <f t="shared" si="18"/>
        <v>0.92130118385257931</v>
      </c>
      <c r="J59" s="35">
        <f>D59*H59</f>
        <v>24.190571677510803</v>
      </c>
      <c r="K59" s="35">
        <f>D59*I59</f>
        <v>24.097784090144028</v>
      </c>
    </row>
    <row r="60" spans="1:11">
      <c r="A60" s="19"/>
      <c r="B60" s="160">
        <f>A23</f>
        <v>2018.5</v>
      </c>
      <c r="C60" s="37">
        <f t="shared" si="13"/>
        <v>2.5</v>
      </c>
      <c r="D60" s="38">
        <f>E23</f>
        <v>1151.15625</v>
      </c>
      <c r="E60" s="162">
        <f t="shared" si="14"/>
        <v>0.90478350570939114</v>
      </c>
      <c r="F60" s="38">
        <f t="shared" si="15"/>
        <v>1041.5471874942764</v>
      </c>
      <c r="G60" s="38">
        <f t="shared" si="16"/>
        <v>2603.8679687356907</v>
      </c>
      <c r="H60" s="39">
        <f t="shared" si="17"/>
        <v>0.90696037919374017</v>
      </c>
      <c r="I60" s="39">
        <f t="shared" si="18"/>
        <v>0.9026139400694877</v>
      </c>
      <c r="J60" s="38">
        <f>D60*H60</f>
        <v>1044.053109011244</v>
      </c>
      <c r="K60" s="38">
        <f>D60*I60</f>
        <v>1039.0496784481161</v>
      </c>
    </row>
    <row r="61" spans="1:11">
      <c r="B61" s="41" t="s">
        <v>2</v>
      </c>
      <c r="C61" s="37"/>
      <c r="D61" s="38"/>
      <c r="E61" s="39"/>
      <c r="F61" s="38">
        <f>SUM(F56:F60)</f>
        <v>1141.09151231597</v>
      </c>
      <c r="G61" s="38">
        <f>SUM(G56:G60)</f>
        <v>2727.0534705467567</v>
      </c>
      <c r="H61" s="39"/>
      <c r="I61" s="39"/>
      <c r="J61" s="38">
        <f>SUM(J56:J60)</f>
        <v>1143.715928068483</v>
      </c>
      <c r="K61" s="38">
        <f>SUM(K56:K60)</f>
        <v>1138.4757921629157</v>
      </c>
    </row>
    <row r="62" spans="1:11">
      <c r="F62" s="11" t="s">
        <v>134</v>
      </c>
      <c r="G62" s="3">
        <f>SUM(G56:G60)/SUM(F56:F60)</f>
        <v>2.3898639514125413</v>
      </c>
      <c r="J62" s="11" t="s">
        <v>72</v>
      </c>
      <c r="K62" s="13">
        <f>(SUM(J56:J60)-SUM(K56:K60))/(2*I26*SUM(F56:F60))</f>
        <v>2.2961067754030773</v>
      </c>
    </row>
    <row r="63" spans="1:11">
      <c r="F63" s="12" t="s">
        <v>65</v>
      </c>
      <c r="G63" s="13">
        <f>G62/(1+A58)</f>
        <v>2.2961013204139027</v>
      </c>
    </row>
    <row r="65" spans="1:12">
      <c r="A65" s="163" t="s">
        <v>148</v>
      </c>
      <c r="B65" s="48"/>
      <c r="C65" s="48"/>
      <c r="D65" s="48"/>
      <c r="E65" s="48"/>
      <c r="F65" s="164" t="s">
        <v>150</v>
      </c>
      <c r="G65" s="48"/>
      <c r="H65" s="48"/>
      <c r="I65" s="48"/>
      <c r="J65" s="48"/>
      <c r="K65" s="48"/>
      <c r="L65" s="48"/>
    </row>
    <row r="66" spans="1:12">
      <c r="A66" s="165" t="s">
        <v>66</v>
      </c>
      <c r="B66" s="48"/>
      <c r="C66" s="48"/>
      <c r="D66" s="48"/>
      <c r="E66" s="48"/>
      <c r="F66" s="164" t="s">
        <v>151</v>
      </c>
      <c r="G66" s="48"/>
      <c r="H66" s="48"/>
      <c r="I66" s="48"/>
      <c r="J66" s="48"/>
      <c r="K66" s="48"/>
      <c r="L66" s="48"/>
    </row>
    <row r="67" spans="1:12">
      <c r="A67" s="164" t="s">
        <v>149</v>
      </c>
      <c r="B67" s="48"/>
      <c r="C67" s="48"/>
      <c r="D67" s="48"/>
      <c r="E67" s="48"/>
      <c r="F67" s="164" t="s">
        <v>68</v>
      </c>
      <c r="G67" s="48"/>
      <c r="H67" s="48"/>
      <c r="I67" s="48"/>
      <c r="J67" s="48"/>
      <c r="K67" s="48"/>
      <c r="L67" s="48"/>
    </row>
    <row r="68" spans="1:12">
      <c r="A68" s="164" t="s">
        <v>106</v>
      </c>
      <c r="B68" s="48"/>
      <c r="C68" s="48"/>
      <c r="D68" s="48"/>
      <c r="E68" s="48"/>
      <c r="F68" s="164" t="s">
        <v>69</v>
      </c>
      <c r="G68" s="48"/>
      <c r="H68" s="48"/>
      <c r="I68" s="48"/>
      <c r="J68" s="48"/>
      <c r="K68" s="48"/>
      <c r="L68" s="48"/>
    </row>
    <row r="69" spans="1:12">
      <c r="A69" s="164" t="s">
        <v>67</v>
      </c>
      <c r="B69" s="48"/>
      <c r="C69" s="48"/>
      <c r="D69" s="48"/>
      <c r="E69" s="48"/>
      <c r="F69" s="164" t="s">
        <v>73</v>
      </c>
      <c r="G69" s="48"/>
      <c r="H69" s="48"/>
      <c r="I69" s="48"/>
      <c r="J69" s="48"/>
      <c r="K69" s="48"/>
      <c r="L69" s="48"/>
    </row>
    <row r="71" spans="1:12">
      <c r="A71" s="6" t="s">
        <v>70</v>
      </c>
    </row>
    <row r="72" spans="1:12" ht="28.8">
      <c r="B72" s="8" t="s">
        <v>55</v>
      </c>
      <c r="C72" s="8" t="s">
        <v>71</v>
      </c>
      <c r="D72" s="8" t="s">
        <v>74</v>
      </c>
    </row>
    <row r="73" spans="1:12">
      <c r="A73" t="s">
        <v>75</v>
      </c>
      <c r="B73" s="4">
        <f>C$10</f>
        <v>1265</v>
      </c>
      <c r="C73" s="3">
        <f>G37</f>
        <v>0.98122178147289929</v>
      </c>
      <c r="D73" s="3">
        <f>K36</f>
        <v>0.98122273567751883</v>
      </c>
    </row>
    <row r="74" spans="1:12">
      <c r="A74" t="s">
        <v>76</v>
      </c>
      <c r="B74" s="4">
        <f>D$10</f>
        <v>2010</v>
      </c>
      <c r="C74" s="3">
        <f>G50</f>
        <v>1.4297959183403921</v>
      </c>
      <c r="D74" s="3">
        <f>K49</f>
        <v>1.4297979083863603</v>
      </c>
    </row>
    <row r="75" spans="1:12">
      <c r="A75" s="17" t="s">
        <v>77</v>
      </c>
      <c r="B75" s="18">
        <f>E$10</f>
        <v>1140</v>
      </c>
      <c r="C75" s="20">
        <f>G63</f>
        <v>2.2961013204139027</v>
      </c>
      <c r="D75" s="20">
        <f>K62</f>
        <v>2.2961067754030773</v>
      </c>
    </row>
    <row r="76" spans="1:12">
      <c r="A76" t="s">
        <v>2</v>
      </c>
      <c r="B76" s="4">
        <f>SUM(B73:B75)</f>
        <v>4415</v>
      </c>
      <c r="C76" s="13">
        <f>SUMPRODUCT(B73:B75,C73:C75)/SUM(B73:B75)</f>
        <v>1.5249582909851087</v>
      </c>
      <c r="D76" s="13">
        <f>SUMPRODUCT(B73:B75,D73:D75)/SUM(B73:B75)</f>
        <v>1.5249608789237039</v>
      </c>
    </row>
  </sheetData>
  <printOptions horizontalCentered="1"/>
  <pageMargins left="0.59055118110236204" right="0.39370078740157499" top="0.59055118110236204" bottom="0.74803149606299202" header="0.31496062992126" footer="0.31496062992126"/>
  <pageSetup scale="50"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96"/>
  <sheetViews>
    <sheetView view="pageLayout" topLeftCell="A197" zoomScaleNormal="100" zoomScaleSheetLayoutView="120" workbookViewId="0">
      <selection activeCell="F204" sqref="F204"/>
    </sheetView>
  </sheetViews>
  <sheetFormatPr defaultColWidth="9.33203125" defaultRowHeight="14.4"/>
  <cols>
    <col min="1" max="1" width="13.6640625" customWidth="1"/>
    <col min="2" max="4" width="11.6640625" customWidth="1"/>
    <col min="5" max="5" width="12.33203125" customWidth="1"/>
    <col min="6" max="6" width="12.6640625" customWidth="1"/>
    <col min="7" max="7" width="12.33203125" customWidth="1"/>
    <col min="8" max="20" width="11.6640625" customWidth="1"/>
  </cols>
  <sheetData>
    <row r="1" spans="1:9" ht="18">
      <c r="A1" s="7" t="s">
        <v>78</v>
      </c>
      <c r="H1" s="152" t="s">
        <v>46</v>
      </c>
      <c r="I1" s="153" t="s">
        <v>17</v>
      </c>
    </row>
    <row r="2" spans="1:9">
      <c r="H2" s="154" t="s">
        <v>47</v>
      </c>
      <c r="I2" s="155">
        <v>2</v>
      </c>
    </row>
    <row r="3" spans="1:9">
      <c r="A3" s="6" t="s">
        <v>48</v>
      </c>
    </row>
    <row r="5" spans="1:9">
      <c r="A5" t="s">
        <v>86</v>
      </c>
      <c r="E5" t="s">
        <v>152</v>
      </c>
    </row>
    <row r="6" spans="1:9" s="8" customFormat="1" ht="28.8">
      <c r="A6" s="8" t="s">
        <v>79</v>
      </c>
      <c r="B6" s="8" t="s">
        <v>80</v>
      </c>
      <c r="C6" s="8" t="s">
        <v>81</v>
      </c>
      <c r="E6" s="8" t="s">
        <v>82</v>
      </c>
      <c r="F6" s="8" t="s">
        <v>80</v>
      </c>
      <c r="G6" s="142" t="s">
        <v>153</v>
      </c>
    </row>
    <row r="7" spans="1:9">
      <c r="A7" s="48">
        <v>2011</v>
      </c>
      <c r="B7" s="2">
        <v>0</v>
      </c>
      <c r="C7" s="2">
        <v>32</v>
      </c>
      <c r="E7">
        <v>12</v>
      </c>
      <c r="F7" s="9">
        <v>0.8</v>
      </c>
      <c r="G7" s="9">
        <v>0.35</v>
      </c>
    </row>
    <row r="8" spans="1:9">
      <c r="A8" s="48">
        <f>A7+1</f>
        <v>2012</v>
      </c>
      <c r="B8" s="2">
        <v>0</v>
      </c>
      <c r="C8" s="2">
        <v>86</v>
      </c>
      <c r="E8">
        <f>E7+12</f>
        <v>24</v>
      </c>
      <c r="F8" s="9">
        <v>0.95</v>
      </c>
      <c r="G8" s="9">
        <v>0.68</v>
      </c>
    </row>
    <row r="9" spans="1:9">
      <c r="A9" s="48">
        <f t="shared" ref="A9:A11" si="0">A8+1</f>
        <v>2013</v>
      </c>
      <c r="B9" s="2">
        <v>0</v>
      </c>
      <c r="C9" s="2">
        <v>127</v>
      </c>
      <c r="E9">
        <f t="shared" ref="E9:E14" si="1">E8+12</f>
        <v>36</v>
      </c>
      <c r="F9" s="9">
        <v>1</v>
      </c>
      <c r="G9" s="9">
        <v>0.8</v>
      </c>
    </row>
    <row r="10" spans="1:9">
      <c r="A10" s="48">
        <f t="shared" si="0"/>
        <v>2014</v>
      </c>
      <c r="B10" s="2">
        <v>16</v>
      </c>
      <c r="C10" s="2">
        <v>186</v>
      </c>
      <c r="E10">
        <f t="shared" si="1"/>
        <v>48</v>
      </c>
      <c r="F10" s="9">
        <v>1</v>
      </c>
      <c r="G10" s="9">
        <v>0.85</v>
      </c>
    </row>
    <row r="11" spans="1:9">
      <c r="A11" s="48">
        <f t="shared" si="0"/>
        <v>2015</v>
      </c>
      <c r="B11" s="2">
        <v>137</v>
      </c>
      <c r="C11" s="2">
        <v>258</v>
      </c>
      <c r="E11">
        <f t="shared" si="1"/>
        <v>60</v>
      </c>
      <c r="F11" s="9">
        <v>1</v>
      </c>
      <c r="G11" s="9">
        <v>0.9</v>
      </c>
    </row>
    <row r="12" spans="1:9">
      <c r="E12">
        <f t="shared" si="1"/>
        <v>72</v>
      </c>
      <c r="F12" s="9">
        <v>1</v>
      </c>
      <c r="G12" s="9">
        <v>0.95</v>
      </c>
    </row>
    <row r="13" spans="1:9">
      <c r="E13">
        <f t="shared" si="1"/>
        <v>84</v>
      </c>
      <c r="F13" s="9">
        <v>1</v>
      </c>
      <c r="G13" s="9">
        <v>0.99</v>
      </c>
    </row>
    <row r="14" spans="1:9">
      <c r="E14">
        <f t="shared" si="1"/>
        <v>96</v>
      </c>
      <c r="F14" s="9">
        <v>1</v>
      </c>
      <c r="G14" s="9">
        <v>1</v>
      </c>
    </row>
    <row r="15" spans="1:9">
      <c r="F15" s="9"/>
      <c r="G15" s="9"/>
    </row>
    <row r="16" spans="1:9">
      <c r="A16" t="s">
        <v>83</v>
      </c>
      <c r="F16" s="9"/>
      <c r="G16" s="9"/>
    </row>
    <row r="17" spans="1:9">
      <c r="A17" s="143" t="s">
        <v>154</v>
      </c>
      <c r="E17" t="s">
        <v>158</v>
      </c>
      <c r="F17" s="9"/>
      <c r="G17" s="9"/>
    </row>
    <row r="18" spans="1:9">
      <c r="A18" t="s">
        <v>155</v>
      </c>
      <c r="E18" t="s">
        <v>157</v>
      </c>
      <c r="F18" s="9"/>
      <c r="G18" s="9"/>
    </row>
    <row r="19" spans="1:9">
      <c r="A19" t="s">
        <v>156</v>
      </c>
      <c r="F19" s="9"/>
      <c r="G19" s="9"/>
    </row>
    <row r="21" spans="1:9">
      <c r="A21" s="6" t="s">
        <v>84</v>
      </c>
    </row>
    <row r="22" spans="1:9">
      <c r="A22" s="16" t="s">
        <v>85</v>
      </c>
    </row>
    <row r="23" spans="1:9">
      <c r="C23" s="173" t="s">
        <v>87</v>
      </c>
      <c r="D23" s="173"/>
      <c r="E23" s="173"/>
      <c r="F23" s="173"/>
      <c r="G23" s="173"/>
      <c r="H23" s="173"/>
      <c r="I23" s="173"/>
    </row>
    <row r="24" spans="1:9" ht="28.8">
      <c r="A24" s="8" t="s">
        <v>79</v>
      </c>
      <c r="B24" s="8" t="s">
        <v>159</v>
      </c>
      <c r="C24" s="48">
        <f>A29+1</f>
        <v>2016</v>
      </c>
      <c r="D24" s="48">
        <f>C24+1</f>
        <v>2017</v>
      </c>
      <c r="E24" s="48">
        <f t="shared" ref="E24:I24" si="2">D24+1</f>
        <v>2018</v>
      </c>
      <c r="F24" s="48">
        <f t="shared" si="2"/>
        <v>2019</v>
      </c>
      <c r="G24" s="48">
        <f t="shared" si="2"/>
        <v>2020</v>
      </c>
      <c r="H24" s="48">
        <f t="shared" si="2"/>
        <v>2021</v>
      </c>
      <c r="I24" s="48">
        <f t="shared" si="2"/>
        <v>2022</v>
      </c>
    </row>
    <row r="25" spans="1:9">
      <c r="A25" s="166">
        <f t="shared" ref="A25:B29" si="3">A7</f>
        <v>2011</v>
      </c>
      <c r="B25" s="4">
        <f t="shared" si="3"/>
        <v>0</v>
      </c>
      <c r="C25" s="4"/>
      <c r="D25" s="4"/>
      <c r="E25" s="4"/>
      <c r="F25" s="4"/>
      <c r="G25" s="4"/>
      <c r="H25" s="4"/>
      <c r="I25" s="4"/>
    </row>
    <row r="26" spans="1:9">
      <c r="A26" s="166">
        <f t="shared" si="3"/>
        <v>2012</v>
      </c>
      <c r="B26" s="4">
        <f t="shared" si="3"/>
        <v>0</v>
      </c>
      <c r="C26" s="4"/>
      <c r="D26" s="4"/>
      <c r="E26" s="4"/>
      <c r="F26" s="4"/>
      <c r="G26" s="4"/>
      <c r="H26" s="4"/>
      <c r="I26" s="4"/>
    </row>
    <row r="27" spans="1:9">
      <c r="A27" s="166">
        <f t="shared" si="3"/>
        <v>2013</v>
      </c>
      <c r="B27" s="4">
        <f t="shared" si="3"/>
        <v>0</v>
      </c>
      <c r="C27" s="4"/>
      <c r="D27" s="4"/>
      <c r="E27" s="4"/>
      <c r="F27" s="4"/>
      <c r="G27" s="4"/>
      <c r="H27" s="4"/>
      <c r="I27" s="4"/>
    </row>
    <row r="28" spans="1:9">
      <c r="A28" s="166">
        <f t="shared" si="3"/>
        <v>2014</v>
      </c>
      <c r="B28" s="4">
        <f t="shared" si="3"/>
        <v>16</v>
      </c>
      <c r="C28" s="4">
        <f>$B28/(1-$F$8)*($F$9-$F$8)</f>
        <v>16</v>
      </c>
      <c r="D28" s="4">
        <f>$B28/(1-$F$8)*($F$10-$F$9)</f>
        <v>0</v>
      </c>
      <c r="E28" s="4">
        <f>$B28/(1-$F$8)*($F$11-$F$10)</f>
        <v>0</v>
      </c>
      <c r="F28" s="4">
        <f>$B28/(1-$F$8)*($F$12-$F$11)</f>
        <v>0</v>
      </c>
      <c r="G28" s="4">
        <f>$B28/(1-$F$8)*($F$13-$F$12)</f>
        <v>0</v>
      </c>
      <c r="H28" s="4">
        <f>$B28/(1-$F$8)*($F$14-$F$13)</f>
        <v>0</v>
      </c>
      <c r="I28" s="4"/>
    </row>
    <row r="29" spans="1:9">
      <c r="A29" s="167">
        <f t="shared" si="3"/>
        <v>2015</v>
      </c>
      <c r="B29" s="18">
        <f t="shared" si="3"/>
        <v>137</v>
      </c>
      <c r="C29" s="18">
        <f>$B29/(1-$F$7)*($F$8-$F$7)</f>
        <v>102.74999999999996</v>
      </c>
      <c r="D29" s="18">
        <f>$B29/(1-$F$7)*($F$9-$F$8)</f>
        <v>34.250000000000036</v>
      </c>
      <c r="E29" s="18">
        <f>$B29/(1-$F$7)*($F$10-$F$9)</f>
        <v>0</v>
      </c>
      <c r="F29" s="18">
        <f>$B29/(1-$F$7)*($F$11-$F$10)</f>
        <v>0</v>
      </c>
      <c r="G29" s="18">
        <f>$B29/(1-$F$7)*($F$12-$F$11)</f>
        <v>0</v>
      </c>
      <c r="H29" s="18">
        <f>$B29/(1-$F$7)*($F$13-$F$12)</f>
        <v>0</v>
      </c>
      <c r="I29" s="18">
        <f>$B29/(1-$F$7)*($F$14-$F$13)</f>
        <v>0</v>
      </c>
    </row>
    <row r="30" spans="1:9">
      <c r="A30" s="19" t="s">
        <v>2</v>
      </c>
      <c r="B30" s="4">
        <f>SUM(B25:B29)</f>
        <v>153</v>
      </c>
      <c r="C30" s="4">
        <f t="shared" ref="C30:I30" si="4">SUM(C25:C29)</f>
        <v>118.74999999999996</v>
      </c>
      <c r="D30" s="4">
        <f t="shared" si="4"/>
        <v>34.250000000000036</v>
      </c>
      <c r="E30" s="4">
        <f t="shared" si="4"/>
        <v>0</v>
      </c>
      <c r="F30" s="4">
        <f t="shared" si="4"/>
        <v>0</v>
      </c>
      <c r="G30" s="4">
        <f t="shared" si="4"/>
        <v>0</v>
      </c>
      <c r="H30" s="4">
        <f t="shared" si="4"/>
        <v>0</v>
      </c>
      <c r="I30" s="4">
        <f t="shared" si="4"/>
        <v>0</v>
      </c>
    </row>
    <row r="32" spans="1:9">
      <c r="A32" s="48" t="s">
        <v>197</v>
      </c>
      <c r="B32" s="48"/>
      <c r="C32" s="48"/>
      <c r="D32" s="48"/>
      <c r="E32" s="48"/>
    </row>
    <row r="33" spans="1:9">
      <c r="A33" s="48" t="s">
        <v>198</v>
      </c>
      <c r="B33" s="48"/>
      <c r="C33" s="48"/>
      <c r="D33" s="48"/>
      <c r="E33" s="48"/>
    </row>
    <row r="34" spans="1:9">
      <c r="A34" s="48" t="s">
        <v>199</v>
      </c>
      <c r="B34" s="48"/>
      <c r="C34" s="48"/>
      <c r="D34" s="48"/>
      <c r="E34" s="48"/>
    </row>
    <row r="36" spans="1:9">
      <c r="A36" s="16" t="s">
        <v>160</v>
      </c>
    </row>
    <row r="37" spans="1:9">
      <c r="C37" s="173" t="s">
        <v>87</v>
      </c>
      <c r="D37" s="173"/>
      <c r="E37" s="173"/>
      <c r="F37" s="173"/>
      <c r="G37" s="173"/>
      <c r="H37" s="173"/>
      <c r="I37" s="173"/>
    </row>
    <row r="38" spans="1:9" ht="28.8">
      <c r="A38" s="8" t="s">
        <v>79</v>
      </c>
      <c r="B38" s="8" t="s">
        <v>159</v>
      </c>
      <c r="C38" s="48">
        <f>A43+1</f>
        <v>2016</v>
      </c>
      <c r="D38" s="48">
        <f>C38+1</f>
        <v>2017</v>
      </c>
      <c r="E38" s="48">
        <f t="shared" ref="E38:I38" si="5">D38+1</f>
        <v>2018</v>
      </c>
      <c r="F38" s="48">
        <f t="shared" si="5"/>
        <v>2019</v>
      </c>
      <c r="G38" s="48">
        <f t="shared" si="5"/>
        <v>2020</v>
      </c>
      <c r="H38" s="48">
        <f t="shared" si="5"/>
        <v>2021</v>
      </c>
      <c r="I38" s="48">
        <f t="shared" si="5"/>
        <v>2022</v>
      </c>
    </row>
    <row r="39" spans="1:9">
      <c r="A39" s="166">
        <f>A7</f>
        <v>2011</v>
      </c>
      <c r="B39" s="4">
        <f>C7</f>
        <v>32</v>
      </c>
      <c r="C39" s="4">
        <f>$B39/(1-$G$11)*($G$12-$G$11)</f>
        <v>15.999999999999982</v>
      </c>
      <c r="D39" s="4">
        <f>$B39/(1-$G$11)*($G$13-$G$12)</f>
        <v>12.800000000000013</v>
      </c>
      <c r="E39" s="4">
        <f>$B39/(1-$G$11)*($G$14-$G$13)</f>
        <v>3.2000000000000033</v>
      </c>
      <c r="F39" s="4"/>
      <c r="G39" s="4"/>
      <c r="H39" s="4"/>
      <c r="I39" s="4"/>
    </row>
    <row r="40" spans="1:9">
      <c r="A40" s="166">
        <f>A8</f>
        <v>2012</v>
      </c>
      <c r="B40" s="4">
        <f>C8</f>
        <v>86</v>
      </c>
      <c r="C40" s="4">
        <f>$B40/(1-$G$10)*($G$11-$G$10)</f>
        <v>28.666666666666689</v>
      </c>
      <c r="D40" s="4">
        <f>$B40/(1-$G$10)*($G$12-$G$11)</f>
        <v>28.666666666666625</v>
      </c>
      <c r="E40" s="4">
        <f>$B40/(1-$G$10)*($G$13-$G$12)</f>
        <v>22.933333333333351</v>
      </c>
      <c r="F40" s="4">
        <f>$B40/(1-$G$10)*($G$14-$G$13)</f>
        <v>5.7333333333333378</v>
      </c>
      <c r="G40" s="4"/>
      <c r="H40" s="4"/>
      <c r="I40" s="4"/>
    </row>
    <row r="41" spans="1:9">
      <c r="A41" s="166">
        <f>A9</f>
        <v>2013</v>
      </c>
      <c r="B41" s="4">
        <f>C9</f>
        <v>127</v>
      </c>
      <c r="C41" s="4">
        <f>$B41/(1-$G$9)*($G$10-$G$9)</f>
        <v>31.749999999999964</v>
      </c>
      <c r="D41" s="4">
        <f>$B41/(1-$G$9)*($G$11-$G$10)</f>
        <v>31.750000000000036</v>
      </c>
      <c r="E41" s="4">
        <f>$B41/(1-$G$9)*($G$12-$G$11)</f>
        <v>31.749999999999964</v>
      </c>
      <c r="F41" s="4">
        <f>$B41/(1-$G$9)*($G$13-$G$12)</f>
        <v>25.400000000000027</v>
      </c>
      <c r="G41" s="4">
        <f>$B41/(1-$G$9)*($G$14-$G$13)</f>
        <v>6.3500000000000068</v>
      </c>
      <c r="H41" s="4"/>
      <c r="I41" s="4"/>
    </row>
    <row r="42" spans="1:9">
      <c r="A42" s="166">
        <f>A10</f>
        <v>2014</v>
      </c>
      <c r="B42" s="4">
        <f>C10</f>
        <v>186</v>
      </c>
      <c r="C42" s="4">
        <f>$B42/(1-$G$8)*($G$9-$G$8)</f>
        <v>69.750000000000014</v>
      </c>
      <c r="D42" s="4">
        <f>$B42/(1-$G$8)*($G$10-$G$9)</f>
        <v>29.062499999999968</v>
      </c>
      <c r="E42" s="4">
        <f>$B42/(1-$G$8)*($G$11-$G$10)</f>
        <v>29.062500000000032</v>
      </c>
      <c r="F42" s="4">
        <f>$B42/(1-$G$8)*($G$12-$G$11)</f>
        <v>29.062499999999968</v>
      </c>
      <c r="G42" s="4">
        <f>$B42/(1-$G$8)*($G$13-$G$12)</f>
        <v>23.250000000000025</v>
      </c>
      <c r="H42" s="4">
        <f>$B42/(1-$G$8)*($G$14-$G$13)</f>
        <v>5.8125000000000062</v>
      </c>
      <c r="I42" s="4"/>
    </row>
    <row r="43" spans="1:9">
      <c r="A43" s="167">
        <f>A11</f>
        <v>2015</v>
      </c>
      <c r="B43" s="18">
        <f>C11</f>
        <v>258</v>
      </c>
      <c r="C43" s="18">
        <f>$B43/(1-$G$7)*($G$8-$G$7)</f>
        <v>130.98461538461541</v>
      </c>
      <c r="D43" s="18">
        <f>$B43/(1-$G$7)*($G$9-$G$8)</f>
        <v>47.630769230769225</v>
      </c>
      <c r="E43" s="18">
        <f>$B43/(1-$G$7)*($G$10-$G$9)</f>
        <v>19.846153846153818</v>
      </c>
      <c r="F43" s="18">
        <f>$B43/(1-$G$7)*($G$11-$G$10)</f>
        <v>19.846153846153864</v>
      </c>
      <c r="G43" s="18">
        <f>$B43/(1-$G$7)*($G$12-$G$11)</f>
        <v>19.846153846153818</v>
      </c>
      <c r="H43" s="18">
        <f>$B43/(1-$G$7)*($G$13-$G$12)</f>
        <v>15.87692307692309</v>
      </c>
      <c r="I43" s="18">
        <f>$B43/(1-$G$7)*($G$14-$G$13)</f>
        <v>3.9692307692307724</v>
      </c>
    </row>
    <row r="44" spans="1:9">
      <c r="A44" s="19" t="s">
        <v>2</v>
      </c>
      <c r="B44" s="4">
        <f>SUM(B39:B43)</f>
        <v>689</v>
      </c>
      <c r="C44" s="4">
        <f t="shared" ref="C44:I44" si="6">SUM(C39:C43)</f>
        <v>277.15128205128201</v>
      </c>
      <c r="D44" s="4">
        <f t="shared" si="6"/>
        <v>149.90993589743587</v>
      </c>
      <c r="E44" s="4">
        <f t="shared" si="6"/>
        <v>106.79198717948717</v>
      </c>
      <c r="F44" s="4">
        <f t="shared" si="6"/>
        <v>80.041987179487194</v>
      </c>
      <c r="G44" s="4">
        <f t="shared" si="6"/>
        <v>49.446153846153848</v>
      </c>
      <c r="H44" s="4">
        <f t="shared" si="6"/>
        <v>21.689423076923095</v>
      </c>
      <c r="I44" s="4">
        <f t="shared" si="6"/>
        <v>3.9692307692307724</v>
      </c>
    </row>
    <row r="46" spans="1:9">
      <c r="A46" s="48" t="s">
        <v>194</v>
      </c>
      <c r="B46" s="48"/>
      <c r="C46" s="48"/>
      <c r="D46" s="48"/>
      <c r="E46" s="48"/>
    </row>
    <row r="47" spans="1:9">
      <c r="A47" s="48" t="s">
        <v>195</v>
      </c>
      <c r="B47" s="48"/>
      <c r="C47" s="48"/>
      <c r="D47" s="48"/>
      <c r="E47" s="48"/>
    </row>
    <row r="48" spans="1:9">
      <c r="A48" s="48" t="s">
        <v>196</v>
      </c>
      <c r="B48" s="48"/>
      <c r="C48" s="48"/>
      <c r="D48" s="48"/>
      <c r="E48" s="48"/>
    </row>
    <row r="49" spans="1:11">
      <c r="A49" t="s">
        <v>3</v>
      </c>
    </row>
    <row r="51" spans="1:11">
      <c r="A51" s="6" t="s">
        <v>88</v>
      </c>
      <c r="H51" s="154" t="s">
        <v>47</v>
      </c>
      <c r="I51" s="155">
        <v>3</v>
      </c>
    </row>
    <row r="53" spans="1:11">
      <c r="A53" s="16" t="s">
        <v>85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</row>
    <row r="54" spans="1:11">
      <c r="A54" t="s">
        <v>89</v>
      </c>
      <c r="B54" s="10">
        <v>1.7500000000000002E-2</v>
      </c>
      <c r="G54" s="1" t="s">
        <v>90</v>
      </c>
      <c r="H54" s="10">
        <v>1E-3</v>
      </c>
    </row>
    <row r="55" spans="1:11" ht="86.4">
      <c r="A55" s="42" t="s">
        <v>141</v>
      </c>
      <c r="B55" s="42" t="s">
        <v>143</v>
      </c>
      <c r="C55" s="42" t="s">
        <v>91</v>
      </c>
      <c r="D55" s="42" t="s">
        <v>144</v>
      </c>
      <c r="E55" s="42" t="s">
        <v>92</v>
      </c>
      <c r="F55" s="42" t="s">
        <v>161</v>
      </c>
      <c r="G55" s="42" t="s">
        <v>63</v>
      </c>
      <c r="H55" s="42" t="s">
        <v>146</v>
      </c>
      <c r="I55" s="42" t="s">
        <v>93</v>
      </c>
      <c r="J55" s="42" t="s">
        <v>162</v>
      </c>
    </row>
    <row r="56" spans="1:11">
      <c r="A56" s="44" t="s">
        <v>4</v>
      </c>
      <c r="B56" s="44" t="s">
        <v>5</v>
      </c>
      <c r="C56" s="44" t="s">
        <v>6</v>
      </c>
      <c r="D56" s="44" t="s">
        <v>7</v>
      </c>
      <c r="E56" s="44" t="s">
        <v>8</v>
      </c>
      <c r="F56" s="44" t="s">
        <v>9</v>
      </c>
      <c r="G56" s="44" t="s">
        <v>10</v>
      </c>
      <c r="H56" s="44" t="s">
        <v>11</v>
      </c>
      <c r="I56" s="44" t="s">
        <v>12</v>
      </c>
      <c r="J56" s="44" t="s">
        <v>13</v>
      </c>
    </row>
    <row r="57" spans="1:11">
      <c r="A57" s="168">
        <v>2016</v>
      </c>
      <c r="B57" s="33">
        <f>A57-2015.5</f>
        <v>0.5</v>
      </c>
      <c r="C57" s="35">
        <f>C$30</f>
        <v>118.74999999999996</v>
      </c>
      <c r="D57" s="36">
        <f t="shared" ref="D57:D63" si="7">1/(1+$B$54)^B57</f>
        <v>0.99136319419321939</v>
      </c>
      <c r="E57" s="35">
        <f>C57*D57</f>
        <v>117.72437931044476</v>
      </c>
      <c r="F57" s="35">
        <f>B57*E57</f>
        <v>58.86218965522238</v>
      </c>
      <c r="G57" s="36">
        <f>1/(1+$B$54-$H$54)^$B57</f>
        <v>0.99185070993165747</v>
      </c>
      <c r="H57" s="36">
        <f t="shared" ref="H57:H63" si="8">1/(1+$B$54+$H$54)^$B57</f>
        <v>0.99087639662191229</v>
      </c>
      <c r="I57" s="35">
        <f t="shared" ref="I57:I63" si="9">C57*G57</f>
        <v>117.78227180438428</v>
      </c>
      <c r="J57" s="35">
        <f t="shared" ref="J57:J63" si="10">C57*H57</f>
        <v>117.66657209885204</v>
      </c>
    </row>
    <row r="58" spans="1:11">
      <c r="A58" s="168">
        <f>A57+1</f>
        <v>2017</v>
      </c>
      <c r="B58" s="33">
        <f t="shared" ref="B58:B63" si="11">A58-2015.5</f>
        <v>1.5</v>
      </c>
      <c r="C58" s="35">
        <f>D$30</f>
        <v>34.250000000000036</v>
      </c>
      <c r="D58" s="36">
        <f t="shared" si="7"/>
        <v>0.9743127215658175</v>
      </c>
      <c r="E58" s="35">
        <f t="shared" ref="E58:E63" si="12">C58*D58</f>
        <v>33.370210713629284</v>
      </c>
      <c r="F58" s="35">
        <f t="shared" ref="F58:F63" si="13">B58*E58</f>
        <v>50.055316070443922</v>
      </c>
      <c r="G58" s="36">
        <f t="shared" ref="G58:G63" si="14">1/(1+$B$54-$H$54)^B58</f>
        <v>0.97575082137890534</v>
      </c>
      <c r="H58" s="36">
        <f t="shared" si="8"/>
        <v>0.97287815083152895</v>
      </c>
      <c r="I58" s="35">
        <f t="shared" si="9"/>
        <v>33.419465632227542</v>
      </c>
      <c r="J58" s="35">
        <f t="shared" si="10"/>
        <v>33.321076665979902</v>
      </c>
    </row>
    <row r="59" spans="1:11">
      <c r="A59" s="168">
        <f t="shared" ref="A59:A63" si="15">A58+1</f>
        <v>2018</v>
      </c>
      <c r="B59" s="33">
        <f t="shared" si="11"/>
        <v>2.5</v>
      </c>
      <c r="C59" s="35">
        <f>E$30</f>
        <v>0</v>
      </c>
      <c r="D59" s="36">
        <f t="shared" si="7"/>
        <v>0.95755550031038561</v>
      </c>
      <c r="E59" s="35">
        <f t="shared" si="12"/>
        <v>0</v>
      </c>
      <c r="F59" s="35">
        <f t="shared" si="13"/>
        <v>0</v>
      </c>
      <c r="G59" s="36">
        <f t="shared" si="14"/>
        <v>0.9599122689413726</v>
      </c>
      <c r="H59" s="36">
        <f t="shared" si="8"/>
        <v>0.95520682457685713</v>
      </c>
      <c r="I59" s="35">
        <f t="shared" si="9"/>
        <v>0</v>
      </c>
      <c r="J59" s="35">
        <f t="shared" si="10"/>
        <v>0</v>
      </c>
    </row>
    <row r="60" spans="1:11">
      <c r="A60" s="168">
        <f t="shared" si="15"/>
        <v>2019</v>
      </c>
      <c r="B60" s="33">
        <f t="shared" si="11"/>
        <v>3.5</v>
      </c>
      <c r="C60" s="35">
        <f>F$30</f>
        <v>0</v>
      </c>
      <c r="D60" s="36">
        <f t="shared" si="7"/>
        <v>0.94108648679153384</v>
      </c>
      <c r="E60" s="35">
        <f t="shared" si="12"/>
        <v>0</v>
      </c>
      <c r="F60" s="35">
        <f t="shared" si="13"/>
        <v>0</v>
      </c>
      <c r="G60" s="36">
        <f t="shared" si="14"/>
        <v>0.94433081056701662</v>
      </c>
      <c r="H60" s="36">
        <f t="shared" si="8"/>
        <v>0.93785647970236352</v>
      </c>
      <c r="I60" s="35">
        <f t="shared" si="9"/>
        <v>0</v>
      </c>
      <c r="J60" s="35">
        <f t="shared" si="10"/>
        <v>0</v>
      </c>
    </row>
    <row r="61" spans="1:11">
      <c r="A61" s="168">
        <f t="shared" si="15"/>
        <v>2020</v>
      </c>
      <c r="B61" s="33">
        <f t="shared" si="11"/>
        <v>4.5</v>
      </c>
      <c r="C61" s="35">
        <f>G$30</f>
        <v>0</v>
      </c>
      <c r="D61" s="36">
        <f t="shared" si="7"/>
        <v>0.92490072411944346</v>
      </c>
      <c r="E61" s="35">
        <f t="shared" si="12"/>
        <v>0</v>
      </c>
      <c r="F61" s="35">
        <f t="shared" si="13"/>
        <v>0</v>
      </c>
      <c r="G61" s="36">
        <f t="shared" si="14"/>
        <v>0.92900227306150163</v>
      </c>
      <c r="H61" s="36">
        <f t="shared" si="8"/>
        <v>0.92082128591297363</v>
      </c>
      <c r="I61" s="35">
        <f t="shared" si="9"/>
        <v>0</v>
      </c>
      <c r="J61" s="35">
        <f t="shared" si="10"/>
        <v>0</v>
      </c>
    </row>
    <row r="62" spans="1:11">
      <c r="A62" s="168">
        <f t="shared" si="15"/>
        <v>2021</v>
      </c>
      <c r="B62" s="33">
        <f t="shared" si="11"/>
        <v>5.5</v>
      </c>
      <c r="C62" s="35">
        <f>H$30</f>
        <v>0</v>
      </c>
      <c r="D62" s="36">
        <f t="shared" si="7"/>
        <v>0.90899334065792947</v>
      </c>
      <c r="E62" s="35">
        <f t="shared" si="12"/>
        <v>0</v>
      </c>
      <c r="F62" s="35">
        <f t="shared" si="13"/>
        <v>0</v>
      </c>
      <c r="G62" s="36">
        <f t="shared" si="14"/>
        <v>0.91392255097048847</v>
      </c>
      <c r="H62" s="36">
        <f t="shared" si="8"/>
        <v>0.90409551881489802</v>
      </c>
      <c r="I62" s="35">
        <f t="shared" si="9"/>
        <v>0</v>
      </c>
      <c r="J62" s="35">
        <f t="shared" si="10"/>
        <v>0</v>
      </c>
    </row>
    <row r="63" spans="1:11">
      <c r="A63" s="169">
        <f t="shared" si="15"/>
        <v>2022</v>
      </c>
      <c r="B63" s="40">
        <f t="shared" si="11"/>
        <v>6.5</v>
      </c>
      <c r="C63" s="38">
        <f>I$30</f>
        <v>0</v>
      </c>
      <c r="D63" s="39">
        <f t="shared" si="7"/>
        <v>0.89335954855816169</v>
      </c>
      <c r="E63" s="38">
        <f t="shared" si="12"/>
        <v>0</v>
      </c>
      <c r="F63" s="38">
        <f t="shared" si="13"/>
        <v>0</v>
      </c>
      <c r="G63" s="39">
        <f t="shared" si="14"/>
        <v>0.89908760548006705</v>
      </c>
      <c r="H63" s="39">
        <f t="shared" si="8"/>
        <v>0.88767355799204506</v>
      </c>
      <c r="I63" s="38">
        <f t="shared" si="9"/>
        <v>0</v>
      </c>
      <c r="J63" s="38">
        <f t="shared" si="10"/>
        <v>0</v>
      </c>
    </row>
    <row r="64" spans="1:11">
      <c r="A64" s="43" t="s">
        <v>2</v>
      </c>
      <c r="B64" s="40"/>
      <c r="C64" s="38">
        <f>SUM(C57:C63)</f>
        <v>153</v>
      </c>
      <c r="D64" s="39"/>
      <c r="E64" s="38">
        <f>SUM(E57:E63)</f>
        <v>151.09459002407405</v>
      </c>
      <c r="F64" s="38">
        <f>SUM(F57:F63)</f>
        <v>108.9175057256663</v>
      </c>
      <c r="G64" s="39"/>
      <c r="H64" s="39"/>
      <c r="I64" s="38">
        <f>SUM(I57:I63)</f>
        <v>151.20173743661184</v>
      </c>
      <c r="J64" s="38">
        <f>SUM(J57:J63)</f>
        <v>150.98764876483193</v>
      </c>
    </row>
    <row r="65" spans="1:10">
      <c r="E65" s="11" t="s">
        <v>134</v>
      </c>
      <c r="F65" s="3">
        <f>SUM(F57:F63)/SUM(E57:E63)</f>
        <v>0.72085642317380372</v>
      </c>
      <c r="I65" s="11" t="s">
        <v>72</v>
      </c>
      <c r="J65" s="13">
        <f>(SUM(I57:I63)-SUM(J57:J63))/(2*H54*SUM(E57:E63))</f>
        <v>0.70845909091051473</v>
      </c>
    </row>
    <row r="66" spans="1:10">
      <c r="E66" s="12" t="s">
        <v>65</v>
      </c>
      <c r="F66" s="13">
        <f>F65/(1+B54)</f>
        <v>0.70845840115361536</v>
      </c>
    </row>
    <row r="68" spans="1:10" s="16" customFormat="1">
      <c r="A68" s="16" t="s">
        <v>160</v>
      </c>
    </row>
    <row r="69" spans="1:10">
      <c r="A69" t="s">
        <v>89</v>
      </c>
      <c r="B69" s="10">
        <v>1.7500000000000002E-2</v>
      </c>
      <c r="G69" s="1" t="s">
        <v>90</v>
      </c>
      <c r="H69" s="10">
        <v>1E-3</v>
      </c>
    </row>
    <row r="70" spans="1:10" ht="86.4">
      <c r="A70" s="42" t="s">
        <v>59</v>
      </c>
      <c r="B70" s="42" t="s">
        <v>143</v>
      </c>
      <c r="C70" s="42" t="s">
        <v>91</v>
      </c>
      <c r="D70" s="42" t="s">
        <v>144</v>
      </c>
      <c r="E70" s="42" t="s">
        <v>92</v>
      </c>
      <c r="F70" s="42" t="s">
        <v>161</v>
      </c>
      <c r="G70" s="42" t="s">
        <v>63</v>
      </c>
      <c r="H70" s="42" t="s">
        <v>146</v>
      </c>
      <c r="I70" s="42" t="s">
        <v>93</v>
      </c>
      <c r="J70" s="42" t="s">
        <v>162</v>
      </c>
    </row>
    <row r="71" spans="1:10">
      <c r="A71" s="44" t="s">
        <v>4</v>
      </c>
      <c r="B71" s="44" t="s">
        <v>5</v>
      </c>
      <c r="C71" s="44" t="s">
        <v>6</v>
      </c>
      <c r="D71" s="44" t="s">
        <v>7</v>
      </c>
      <c r="E71" s="44" t="s">
        <v>8</v>
      </c>
      <c r="F71" s="44" t="s">
        <v>9</v>
      </c>
      <c r="G71" s="44" t="s">
        <v>10</v>
      </c>
      <c r="H71" s="44" t="s">
        <v>11</v>
      </c>
      <c r="I71" s="44" t="s">
        <v>12</v>
      </c>
      <c r="J71" s="44" t="s">
        <v>13</v>
      </c>
    </row>
    <row r="72" spans="1:10">
      <c r="A72" s="168">
        <v>2016</v>
      </c>
      <c r="B72" s="168">
        <f t="shared" ref="B72:B78" si="16">A72-2015.5</f>
        <v>0.5</v>
      </c>
      <c r="C72" s="35">
        <f>C$44</f>
        <v>277.15128205128201</v>
      </c>
      <c r="D72" s="36">
        <f t="shared" ref="D72:D78" si="17">1/(1+$B$54)^B72</f>
        <v>0.99136319419321939</v>
      </c>
      <c r="E72" s="35">
        <f>C72*D72</f>
        <v>274.75758024910482</v>
      </c>
      <c r="F72" s="35">
        <f>B72*E72</f>
        <v>137.37879012455241</v>
      </c>
      <c r="G72" s="36">
        <f>1/(1+$B$54-$H$54)^$B72</f>
        <v>0.99185070993165747</v>
      </c>
      <c r="H72" s="36">
        <f t="shared" ref="H72:H78" si="18">1/(1+$B$54+$H$54)^$B72</f>
        <v>0.99087639662191229</v>
      </c>
      <c r="I72" s="35">
        <f t="shared" ref="I72:I78" si="19">C72*G72</f>
        <v>274.89269586103308</v>
      </c>
      <c r="J72" s="35">
        <f t="shared" ref="J72:J78" si="20">C72*H72</f>
        <v>274.62266367811759</v>
      </c>
    </row>
    <row r="73" spans="1:10">
      <c r="A73" s="168">
        <f>A72+1</f>
        <v>2017</v>
      </c>
      <c r="B73" s="168">
        <f t="shared" si="16"/>
        <v>1.5</v>
      </c>
      <c r="C73" s="35">
        <f>D$44</f>
        <v>149.90993589743587</v>
      </c>
      <c r="D73" s="36">
        <f t="shared" si="17"/>
        <v>0.9743127215658175</v>
      </c>
      <c r="E73" s="35">
        <f t="shared" ref="E73:E78" si="21">C73*D73</f>
        <v>146.05915763398798</v>
      </c>
      <c r="F73" s="35">
        <f t="shared" ref="F73:F78" si="22">B73*E73</f>
        <v>219.08873645098197</v>
      </c>
      <c r="G73" s="36">
        <f t="shared" ref="G73:G78" si="23">1/(1+$B$54-$H$54)^B73</f>
        <v>0.97575082137890534</v>
      </c>
      <c r="H73" s="36">
        <f t="shared" si="18"/>
        <v>0.97287815083152895</v>
      </c>
      <c r="I73" s="35">
        <f t="shared" si="19"/>
        <v>146.2747430847821</v>
      </c>
      <c r="J73" s="35">
        <f t="shared" si="20"/>
        <v>145.84410122717046</v>
      </c>
    </row>
    <row r="74" spans="1:10">
      <c r="A74" s="168">
        <f t="shared" ref="A74:A78" si="24">A73+1</f>
        <v>2018</v>
      </c>
      <c r="B74" s="168">
        <f t="shared" si="16"/>
        <v>2.5</v>
      </c>
      <c r="C74" s="35">
        <f>E$44</f>
        <v>106.79198717948717</v>
      </c>
      <c r="D74" s="36">
        <f t="shared" si="17"/>
        <v>0.95755550031038561</v>
      </c>
      <c r="E74" s="35">
        <f t="shared" si="21"/>
        <v>102.25925471279412</v>
      </c>
      <c r="F74" s="35">
        <f t="shared" si="22"/>
        <v>255.6481367819853</v>
      </c>
      <c r="G74" s="36">
        <f t="shared" si="23"/>
        <v>0.9599122689413726</v>
      </c>
      <c r="H74" s="36">
        <f t="shared" si="18"/>
        <v>0.95520682457685713</v>
      </c>
      <c r="I74" s="35">
        <f t="shared" si="19"/>
        <v>102.51093871821949</v>
      </c>
      <c r="J74" s="35">
        <f t="shared" si="20"/>
        <v>102.00843496397037</v>
      </c>
    </row>
    <row r="75" spans="1:10">
      <c r="A75" s="168">
        <f t="shared" si="24"/>
        <v>2019</v>
      </c>
      <c r="B75" s="168">
        <f t="shared" si="16"/>
        <v>3.5</v>
      </c>
      <c r="C75" s="35">
        <f>F$44</f>
        <v>80.041987179487194</v>
      </c>
      <c r="D75" s="36">
        <f t="shared" si="17"/>
        <v>0.94108648679153384</v>
      </c>
      <c r="E75" s="35">
        <f t="shared" si="21"/>
        <v>75.3264325105566</v>
      </c>
      <c r="F75" s="35">
        <f t="shared" si="22"/>
        <v>263.64251378694809</v>
      </c>
      <c r="G75" s="36">
        <f t="shared" si="23"/>
        <v>0.94433081056701662</v>
      </c>
      <c r="H75" s="36">
        <f t="shared" si="18"/>
        <v>0.93785647970236352</v>
      </c>
      <c r="I75" s="35">
        <f t="shared" si="19"/>
        <v>75.586114632599887</v>
      </c>
      <c r="J75" s="35">
        <f t="shared" si="20"/>
        <v>75.067896324535567</v>
      </c>
    </row>
    <row r="76" spans="1:10">
      <c r="A76" s="168">
        <f t="shared" si="24"/>
        <v>2020</v>
      </c>
      <c r="B76" s="168">
        <f t="shared" si="16"/>
        <v>4.5</v>
      </c>
      <c r="C76" s="35">
        <f>G$44</f>
        <v>49.446153846153848</v>
      </c>
      <c r="D76" s="36">
        <f t="shared" si="17"/>
        <v>0.92490072411944346</v>
      </c>
      <c r="E76" s="35">
        <f t="shared" si="21"/>
        <v>45.7327834972291</v>
      </c>
      <c r="F76" s="35">
        <f t="shared" si="22"/>
        <v>205.79752573753095</v>
      </c>
      <c r="G76" s="36">
        <f t="shared" si="23"/>
        <v>0.92900227306150163</v>
      </c>
      <c r="H76" s="36">
        <f t="shared" si="18"/>
        <v>0.92082128591297363</v>
      </c>
      <c r="I76" s="35">
        <f t="shared" si="19"/>
        <v>45.935589317225634</v>
      </c>
      <c r="J76" s="35">
        <f t="shared" si="20"/>
        <v>45.531070968066111</v>
      </c>
    </row>
    <row r="77" spans="1:10">
      <c r="A77" s="168">
        <f t="shared" si="24"/>
        <v>2021</v>
      </c>
      <c r="B77" s="168">
        <f t="shared" si="16"/>
        <v>5.5</v>
      </c>
      <c r="C77" s="35">
        <f>H$44</f>
        <v>21.689423076923095</v>
      </c>
      <c r="D77" s="36">
        <f t="shared" si="17"/>
        <v>0.90899334065792947</v>
      </c>
      <c r="E77" s="35">
        <f t="shared" si="21"/>
        <v>19.715541139635512</v>
      </c>
      <c r="F77" s="35">
        <f t="shared" si="22"/>
        <v>108.43547626799531</v>
      </c>
      <c r="G77" s="36">
        <f t="shared" si="23"/>
        <v>0.91392255097048847</v>
      </c>
      <c r="H77" s="36">
        <f t="shared" si="18"/>
        <v>0.90409551881489802</v>
      </c>
      <c r="I77" s="35">
        <f t="shared" si="19"/>
        <v>19.822452867539734</v>
      </c>
      <c r="J77" s="35">
        <f t="shared" si="20"/>
        <v>19.609310209526608</v>
      </c>
    </row>
    <row r="78" spans="1:10">
      <c r="A78" s="169">
        <f t="shared" si="24"/>
        <v>2022</v>
      </c>
      <c r="B78" s="169">
        <f t="shared" si="16"/>
        <v>6.5</v>
      </c>
      <c r="C78" s="38">
        <f>I$44</f>
        <v>3.9692307692307724</v>
      </c>
      <c r="D78" s="39">
        <f t="shared" si="17"/>
        <v>0.89335954855816169</v>
      </c>
      <c r="E78" s="38">
        <f t="shared" si="21"/>
        <v>3.5459502081231675</v>
      </c>
      <c r="F78" s="38">
        <f t="shared" si="22"/>
        <v>23.048676352800587</v>
      </c>
      <c r="G78" s="39">
        <f t="shared" si="23"/>
        <v>0.89908760548006705</v>
      </c>
      <c r="H78" s="39">
        <f t="shared" si="18"/>
        <v>0.88767355799204506</v>
      </c>
      <c r="I78" s="38">
        <f t="shared" si="19"/>
        <v>3.5686861879054996</v>
      </c>
      <c r="J78" s="38">
        <f t="shared" si="20"/>
        <v>3.5233811994145818</v>
      </c>
    </row>
    <row r="79" spans="1:10">
      <c r="A79" s="43" t="s">
        <v>2</v>
      </c>
      <c r="B79" s="40"/>
      <c r="C79" s="38">
        <f>SUM(C72:C78)</f>
        <v>688.99999999999989</v>
      </c>
      <c r="D79" s="39"/>
      <c r="E79" s="38">
        <f>SUM(E72:E78)</f>
        <v>667.39669995143129</v>
      </c>
      <c r="F79" s="38">
        <f>SUM(F72:F78)</f>
        <v>1213.0398555027946</v>
      </c>
      <c r="G79" s="39"/>
      <c r="H79" s="39"/>
      <c r="I79" s="38">
        <f>SUM(I72:I78)</f>
        <v>668.59122066930547</v>
      </c>
      <c r="J79" s="38">
        <f>SUM(J72:J78)</f>
        <v>666.20685857080127</v>
      </c>
    </row>
    <row r="80" spans="1:10">
      <c r="E80" s="11" t="s">
        <v>135</v>
      </c>
      <c r="F80" s="3">
        <f>SUM(F72:F78)/SUM(E72:E78)</f>
        <v>1.8175694539560527</v>
      </c>
      <c r="I80" s="11" t="s">
        <v>72</v>
      </c>
      <c r="J80" s="13">
        <f>(SUM(I72:I78)-SUM(J72:J78))/(2*H69*SUM(E72:E78))</f>
        <v>1.7863154692536809</v>
      </c>
    </row>
    <row r="81" spans="1:11">
      <c r="E81" s="12" t="s">
        <v>65</v>
      </c>
      <c r="F81" s="13">
        <f>F80/(1+B69)</f>
        <v>1.7863090456570541</v>
      </c>
    </row>
    <row r="83" spans="1:11">
      <c r="A83" s="144" t="s">
        <v>148</v>
      </c>
      <c r="B83" s="143"/>
      <c r="C83" s="143"/>
      <c r="D83" s="143"/>
      <c r="E83" s="145" t="s">
        <v>150</v>
      </c>
      <c r="F83" s="143"/>
      <c r="G83" s="143"/>
      <c r="H83" s="143"/>
      <c r="I83" s="143"/>
      <c r="J83" s="143"/>
      <c r="K83" s="143"/>
    </row>
    <row r="84" spans="1:11">
      <c r="A84" s="146" t="s">
        <v>66</v>
      </c>
      <c r="B84" s="143"/>
      <c r="C84" s="143"/>
      <c r="D84" s="143"/>
      <c r="E84" s="145" t="s">
        <v>151</v>
      </c>
      <c r="F84" s="143"/>
      <c r="G84" s="143"/>
      <c r="H84" s="143"/>
      <c r="I84" s="143"/>
      <c r="J84" s="143"/>
      <c r="K84" s="143"/>
    </row>
    <row r="85" spans="1:11">
      <c r="A85" s="145" t="s">
        <v>163</v>
      </c>
      <c r="B85" s="143"/>
      <c r="C85" s="143"/>
      <c r="D85" s="143"/>
      <c r="E85" s="145" t="s">
        <v>95</v>
      </c>
      <c r="F85" s="143"/>
      <c r="G85" s="143"/>
      <c r="H85" s="143"/>
      <c r="I85" s="143"/>
      <c r="J85" s="143"/>
      <c r="K85" s="143"/>
    </row>
    <row r="86" spans="1:11">
      <c r="A86" s="145" t="s">
        <v>106</v>
      </c>
      <c r="B86" s="143"/>
      <c r="C86" s="143"/>
      <c r="D86" s="143"/>
      <c r="E86" s="145" t="s">
        <v>96</v>
      </c>
      <c r="F86" s="143"/>
      <c r="G86" s="143"/>
      <c r="H86" s="143"/>
      <c r="I86" s="143"/>
      <c r="J86" s="143"/>
      <c r="K86" s="143"/>
    </row>
    <row r="87" spans="1:11">
      <c r="A87" s="145" t="s">
        <v>67</v>
      </c>
      <c r="B87" s="143"/>
      <c r="C87" s="143"/>
      <c r="D87" s="143"/>
      <c r="E87" s="145" t="s">
        <v>73</v>
      </c>
      <c r="F87" s="143"/>
      <c r="G87" s="143"/>
      <c r="H87" s="143"/>
      <c r="I87" s="143"/>
      <c r="J87" s="143"/>
      <c r="K87" s="143"/>
    </row>
    <row r="89" spans="1:11">
      <c r="A89" s="6" t="s">
        <v>164</v>
      </c>
    </row>
    <row r="91" spans="1:11">
      <c r="A91" s="143"/>
      <c r="B91" s="143"/>
      <c r="C91" s="148" t="s">
        <v>165</v>
      </c>
      <c r="D91" s="148"/>
      <c r="E91" s="147" t="s">
        <v>167</v>
      </c>
      <c r="F91" s="148" t="s">
        <v>14</v>
      </c>
      <c r="G91" s="148" t="s">
        <v>14</v>
      </c>
    </row>
    <row r="92" spans="1:11">
      <c r="A92" s="143"/>
      <c r="B92" s="143"/>
      <c r="C92" s="148" t="s">
        <v>166</v>
      </c>
      <c r="D92" s="148" t="s">
        <v>97</v>
      </c>
      <c r="E92" s="148" t="s">
        <v>166</v>
      </c>
      <c r="F92" s="148" t="s">
        <v>98</v>
      </c>
      <c r="G92" s="148" t="s">
        <v>99</v>
      </c>
    </row>
    <row r="93" spans="1:11">
      <c r="B93" t="str">
        <f>A53</f>
        <v>Biens</v>
      </c>
      <c r="C93" s="4">
        <f>E64</f>
        <v>151.09459002407405</v>
      </c>
      <c r="D93" s="4">
        <v>5</v>
      </c>
      <c r="E93" s="4">
        <f>C93+D93</f>
        <v>156.09459002407405</v>
      </c>
      <c r="F93" s="3">
        <f>F66</f>
        <v>0.70845840115361536</v>
      </c>
      <c r="G93" s="3">
        <f>J65</f>
        <v>0.70845909091051473</v>
      </c>
    </row>
    <row r="94" spans="1:11">
      <c r="B94" s="17" t="str">
        <f>A68</f>
        <v>R.C.</v>
      </c>
      <c r="C94" s="18">
        <f>E79</f>
        <v>667.39669995143129</v>
      </c>
      <c r="D94" s="18">
        <v>115</v>
      </c>
      <c r="E94" s="18">
        <f>C94+D94</f>
        <v>782.39669995143129</v>
      </c>
      <c r="F94" s="20">
        <f>F81</f>
        <v>1.7863090456570541</v>
      </c>
      <c r="G94" s="20">
        <f>J80</f>
        <v>1.7863154692536809</v>
      </c>
    </row>
    <row r="95" spans="1:11">
      <c r="B95" t="s">
        <v>2</v>
      </c>
      <c r="C95" s="4">
        <f>SUM(C93:C94)</f>
        <v>818.49128997550531</v>
      </c>
      <c r="D95" s="4">
        <f t="shared" ref="D95:E95" si="25">SUM(D93:D94)</f>
        <v>120</v>
      </c>
      <c r="E95" s="4">
        <f t="shared" si="25"/>
        <v>938.49128997550531</v>
      </c>
      <c r="F95" s="3">
        <f>(E93*F93+E94*F94)/E95</f>
        <v>1.6070355070977997</v>
      </c>
      <c r="G95" s="3">
        <f>(E93*G93+E94*G94)/E95</f>
        <v>1.6070409770133736</v>
      </c>
    </row>
    <row r="97" spans="1:9">
      <c r="A97" s="6" t="s">
        <v>100</v>
      </c>
      <c r="H97" s="154" t="s">
        <v>47</v>
      </c>
      <c r="I97" s="155">
        <v>4</v>
      </c>
    </row>
    <row r="99" spans="1:9" ht="15" customHeight="1">
      <c r="A99" t="s">
        <v>101</v>
      </c>
      <c r="E99" s="4">
        <f>550*0.65</f>
        <v>357.5</v>
      </c>
    </row>
    <row r="100" spans="1:9">
      <c r="A100" t="s">
        <v>102</v>
      </c>
      <c r="E100" s="4">
        <f>380*0.8</f>
        <v>304</v>
      </c>
    </row>
    <row r="102" spans="1:9" ht="57.6">
      <c r="A102" s="8" t="s">
        <v>82</v>
      </c>
      <c r="B102" s="8" t="s">
        <v>168</v>
      </c>
      <c r="C102" s="8" t="s">
        <v>169</v>
      </c>
      <c r="D102" s="8" t="s">
        <v>170</v>
      </c>
      <c r="E102" s="8" t="s">
        <v>171</v>
      </c>
      <c r="F102" s="8" t="s">
        <v>172</v>
      </c>
      <c r="G102" s="8" t="s">
        <v>173</v>
      </c>
    </row>
    <row r="103" spans="1:9">
      <c r="A103">
        <v>12</v>
      </c>
      <c r="B103">
        <v>0.5</v>
      </c>
      <c r="C103" s="5">
        <f>1- (12-((12*12/2)^0.5))/12</f>
        <v>0.70710678118654746</v>
      </c>
      <c r="D103" s="9">
        <v>0.8</v>
      </c>
      <c r="E103" s="9">
        <f t="shared" ref="E103:E109" si="26">(D104-D103)/(B104-B103)*(C103-B103)+D103</f>
        <v>0.83106601717798212</v>
      </c>
      <c r="F103" s="9">
        <v>0.35</v>
      </c>
      <c r="G103" s="9">
        <f t="shared" ref="G103:G109" si="27">(F104-F103)/(B104-B103)*(C103-B103)+F103</f>
        <v>0.41834523779156063</v>
      </c>
    </row>
    <row r="104" spans="1:9">
      <c r="A104">
        <f>A103+12</f>
        <v>24</v>
      </c>
      <c r="B104">
        <f>B103+1</f>
        <v>1.5</v>
      </c>
      <c r="C104" s="5">
        <f>C103+1</f>
        <v>1.7071067811865475</v>
      </c>
      <c r="D104" s="9">
        <v>0.95</v>
      </c>
      <c r="E104" s="9">
        <f t="shared" si="26"/>
        <v>0.96035533905932735</v>
      </c>
      <c r="F104" s="9">
        <v>0.68</v>
      </c>
      <c r="G104" s="9">
        <f t="shared" si="27"/>
        <v>0.70485281374238573</v>
      </c>
    </row>
    <row r="105" spans="1:9">
      <c r="A105">
        <f t="shared" ref="A105:A110" si="28">A104+12</f>
        <v>36</v>
      </c>
      <c r="B105">
        <f t="shared" ref="B105:B110" si="29">B104+1</f>
        <v>2.5</v>
      </c>
      <c r="C105" s="5">
        <f t="shared" ref="C105:C110" si="30">C104+1</f>
        <v>2.7071067811865475</v>
      </c>
      <c r="D105" s="9">
        <v>1</v>
      </c>
      <c r="E105" s="9">
        <f t="shared" si="26"/>
        <v>1</v>
      </c>
      <c r="F105" s="9">
        <v>0.8</v>
      </c>
      <c r="G105" s="9">
        <f t="shared" si="27"/>
        <v>0.81035533905932744</v>
      </c>
    </row>
    <row r="106" spans="1:9">
      <c r="A106">
        <f t="shared" si="28"/>
        <v>48</v>
      </c>
      <c r="B106">
        <f t="shared" si="29"/>
        <v>3.5</v>
      </c>
      <c r="C106" s="5">
        <f t="shared" si="30"/>
        <v>3.7071067811865475</v>
      </c>
      <c r="D106" s="9">
        <v>1</v>
      </c>
      <c r="E106" s="9">
        <f t="shared" si="26"/>
        <v>1</v>
      </c>
      <c r="F106" s="9">
        <v>0.85</v>
      </c>
      <c r="G106" s="9">
        <f t="shared" si="27"/>
        <v>0.86035533905932737</v>
      </c>
    </row>
    <row r="107" spans="1:9">
      <c r="A107">
        <f t="shared" si="28"/>
        <v>60</v>
      </c>
      <c r="B107">
        <f t="shared" si="29"/>
        <v>4.5</v>
      </c>
      <c r="C107" s="5">
        <f t="shared" si="30"/>
        <v>4.7071067811865479</v>
      </c>
      <c r="D107" s="9">
        <v>1</v>
      </c>
      <c r="E107" s="9">
        <f t="shared" si="26"/>
        <v>1</v>
      </c>
      <c r="F107" s="9">
        <v>0.9</v>
      </c>
      <c r="G107" s="9">
        <f t="shared" si="27"/>
        <v>0.91035533905932742</v>
      </c>
    </row>
    <row r="108" spans="1:9">
      <c r="A108">
        <f t="shared" si="28"/>
        <v>72</v>
      </c>
      <c r="B108">
        <f t="shared" si="29"/>
        <v>5.5</v>
      </c>
      <c r="C108" s="5">
        <f t="shared" si="30"/>
        <v>5.7071067811865479</v>
      </c>
      <c r="D108" s="9">
        <v>1</v>
      </c>
      <c r="E108" s="9">
        <f t="shared" si="26"/>
        <v>1</v>
      </c>
      <c r="F108" s="9">
        <v>0.95</v>
      </c>
      <c r="G108" s="9">
        <f t="shared" si="27"/>
        <v>0.95828427124746185</v>
      </c>
    </row>
    <row r="109" spans="1:9" ht="15" customHeight="1">
      <c r="A109">
        <f t="shared" si="28"/>
        <v>84</v>
      </c>
      <c r="B109">
        <f t="shared" si="29"/>
        <v>6.5</v>
      </c>
      <c r="C109" s="5">
        <f t="shared" si="30"/>
        <v>6.7071067811865479</v>
      </c>
      <c r="D109" s="9">
        <v>1</v>
      </c>
      <c r="E109" s="9">
        <f t="shared" si="26"/>
        <v>1</v>
      </c>
      <c r="F109" s="9">
        <v>0.99</v>
      </c>
      <c r="G109" s="9">
        <f t="shared" si="27"/>
        <v>0.99207106781186549</v>
      </c>
    </row>
    <row r="110" spans="1:9">
      <c r="A110">
        <f t="shared" si="28"/>
        <v>96</v>
      </c>
      <c r="B110">
        <f t="shared" si="29"/>
        <v>7.5</v>
      </c>
      <c r="C110" s="5">
        <f t="shared" si="30"/>
        <v>7.7071067811865479</v>
      </c>
      <c r="D110" s="9">
        <v>1</v>
      </c>
      <c r="E110" s="9">
        <f>D110</f>
        <v>1</v>
      </c>
      <c r="F110" s="9">
        <v>1</v>
      </c>
      <c r="G110" s="9">
        <f>F110</f>
        <v>1</v>
      </c>
    </row>
    <row r="111" spans="1:9">
      <c r="C111" s="5"/>
      <c r="D111" s="9"/>
      <c r="E111" s="9"/>
      <c r="F111" s="9"/>
      <c r="G111" s="9"/>
    </row>
    <row r="112" spans="1:9" ht="16.2">
      <c r="A112" t="s">
        <v>174</v>
      </c>
      <c r="C112" s="5"/>
      <c r="D112" s="9"/>
      <c r="E112" s="9"/>
      <c r="F112" s="9"/>
      <c r="G112" s="9"/>
    </row>
    <row r="113" spans="1:10">
      <c r="A113" s="51" t="s">
        <v>175</v>
      </c>
      <c r="C113" s="5"/>
      <c r="D113" s="9"/>
      <c r="E113" s="9"/>
      <c r="F113" s="9"/>
      <c r="G113" s="9"/>
    </row>
    <row r="114" spans="1:10">
      <c r="A114" t="s">
        <v>176</v>
      </c>
      <c r="C114" s="5"/>
      <c r="D114" s="9"/>
      <c r="E114" s="9"/>
      <c r="F114" s="9"/>
      <c r="G114" s="9"/>
    </row>
    <row r="115" spans="1:10">
      <c r="A115" t="s">
        <v>177</v>
      </c>
      <c r="C115" s="5"/>
      <c r="D115" s="9"/>
      <c r="E115" s="9"/>
      <c r="F115" s="9"/>
      <c r="G115" s="9"/>
    </row>
    <row r="116" spans="1:10">
      <c r="A116" t="s">
        <v>136</v>
      </c>
      <c r="F116" s="24"/>
    </row>
    <row r="117" spans="1:10">
      <c r="A117" t="s">
        <v>103</v>
      </c>
    </row>
    <row r="118" spans="1:10">
      <c r="A118" t="s">
        <v>104</v>
      </c>
    </row>
    <row r="124" spans="1:10">
      <c r="D124" s="173" t="s">
        <v>87</v>
      </c>
      <c r="E124" s="173"/>
      <c r="F124" s="173"/>
      <c r="G124" s="173"/>
      <c r="H124" s="173"/>
      <c r="I124" s="173"/>
      <c r="J124" s="173"/>
    </row>
    <row r="125" spans="1:10">
      <c r="B125" s="8" t="s">
        <v>178</v>
      </c>
      <c r="C125" s="48">
        <f>C38</f>
        <v>2016</v>
      </c>
      <c r="D125" s="48">
        <f>C125+1</f>
        <v>2017</v>
      </c>
      <c r="E125" s="48">
        <f t="shared" ref="E125:J125" si="31">D125+1</f>
        <v>2018</v>
      </c>
      <c r="F125" s="48">
        <f t="shared" si="31"/>
        <v>2019</v>
      </c>
      <c r="G125" s="48">
        <f t="shared" si="31"/>
        <v>2020</v>
      </c>
      <c r="H125" s="48">
        <f t="shared" si="31"/>
        <v>2021</v>
      </c>
      <c r="I125" s="48">
        <f t="shared" si="31"/>
        <v>2022</v>
      </c>
      <c r="J125" s="48">
        <f t="shared" si="31"/>
        <v>2023</v>
      </c>
    </row>
    <row r="126" spans="1:10">
      <c r="A126" t="s">
        <v>80</v>
      </c>
      <c r="B126" s="4">
        <f>E99</f>
        <v>357.5</v>
      </c>
      <c r="C126" s="4">
        <f>$B126*$E103</f>
        <v>297.10610114112859</v>
      </c>
      <c r="D126" s="4">
        <f>$B126*($E104-$E103)</f>
        <v>46.220932572580921</v>
      </c>
      <c r="E126" s="4">
        <f>$B126*($E105-$E104)</f>
        <v>14.172966286290473</v>
      </c>
      <c r="F126" s="4">
        <f>$B126*($E106-$E105)</f>
        <v>0</v>
      </c>
      <c r="G126" s="4">
        <f>$B126*($E107-$E106)</f>
        <v>0</v>
      </c>
      <c r="H126" s="4">
        <f>$B126*($E108-$E107)</f>
        <v>0</v>
      </c>
      <c r="I126" s="4">
        <f>$B126*($E109-$E108)</f>
        <v>0</v>
      </c>
      <c r="J126" s="4">
        <f>$B126*($E110-$E109)</f>
        <v>0</v>
      </c>
    </row>
    <row r="127" spans="1:10">
      <c r="A127" t="s">
        <v>160</v>
      </c>
      <c r="B127" s="4">
        <f>E100</f>
        <v>304</v>
      </c>
      <c r="C127" s="4">
        <f>$B127*$G103</f>
        <v>127.17695228863442</v>
      </c>
      <c r="D127" s="4">
        <f>$B127*($G104-$G103)</f>
        <v>87.09830308905083</v>
      </c>
      <c r="E127" s="4">
        <f>$B127*($G105-$G104)</f>
        <v>32.072767696350283</v>
      </c>
      <c r="F127" s="4">
        <f>$B127*($G106-$G105)</f>
        <v>15.19999999999998</v>
      </c>
      <c r="G127" s="4">
        <f>$B127*($G107-$G106)</f>
        <v>15.200000000000014</v>
      </c>
      <c r="H127" s="4">
        <f>$B127*($G108-$G107)</f>
        <v>14.570395385192867</v>
      </c>
      <c r="I127" s="4">
        <f>$B127*($G109-$G108)</f>
        <v>10.271186155578707</v>
      </c>
      <c r="J127" s="4">
        <f>$B127*($G110-$G109)</f>
        <v>2.4103953851928903</v>
      </c>
    </row>
    <row r="128" spans="1:10">
      <c r="A128" s="17" t="s">
        <v>105</v>
      </c>
      <c r="B128" s="18">
        <f>0.035 * (550+380)</f>
        <v>32.550000000000004</v>
      </c>
      <c r="C128" s="18">
        <f>B128</f>
        <v>32.550000000000004</v>
      </c>
      <c r="D128" s="18">
        <v>0</v>
      </c>
      <c r="E128" s="18">
        <v>0</v>
      </c>
      <c r="F128" s="18">
        <v>0</v>
      </c>
      <c r="G128" s="18">
        <v>0</v>
      </c>
      <c r="H128" s="18">
        <v>0</v>
      </c>
      <c r="I128" s="18">
        <v>0</v>
      </c>
      <c r="J128" s="18">
        <v>0</v>
      </c>
    </row>
    <row r="129" spans="1:11">
      <c r="A129" t="s">
        <v>2</v>
      </c>
      <c r="B129" s="4">
        <f>SUM(B126:B128)</f>
        <v>694.05</v>
      </c>
      <c r="C129" s="4">
        <f t="shared" ref="C129:J129" si="32">SUM(C126:C128)</f>
        <v>456.83305342976303</v>
      </c>
      <c r="D129" s="4">
        <f t="shared" si="32"/>
        <v>133.31923566163175</v>
      </c>
      <c r="E129" s="4">
        <f t="shared" si="32"/>
        <v>46.245733982640758</v>
      </c>
      <c r="F129" s="4">
        <f t="shared" si="32"/>
        <v>15.19999999999998</v>
      </c>
      <c r="G129" s="4">
        <f t="shared" si="32"/>
        <v>15.200000000000014</v>
      </c>
      <c r="H129" s="4">
        <f t="shared" si="32"/>
        <v>14.570395385192867</v>
      </c>
      <c r="I129" s="4">
        <f t="shared" si="32"/>
        <v>10.271186155578707</v>
      </c>
      <c r="J129" s="4">
        <f t="shared" si="32"/>
        <v>2.4103953851928903</v>
      </c>
    </row>
    <row r="130" spans="1:11">
      <c r="B130" s="4"/>
      <c r="C130" s="4"/>
      <c r="D130" s="4"/>
      <c r="E130" s="4"/>
      <c r="F130" s="4"/>
      <c r="G130" s="4"/>
      <c r="H130" s="4"/>
      <c r="I130" s="4"/>
      <c r="J130" s="4"/>
    </row>
    <row r="131" spans="1:11">
      <c r="A131" t="s">
        <v>179</v>
      </c>
      <c r="B131" s="4"/>
      <c r="C131" s="4"/>
      <c r="D131" s="4"/>
      <c r="E131" s="4"/>
      <c r="F131" s="4"/>
      <c r="G131" s="4"/>
      <c r="H131" s="4"/>
      <c r="I131" s="4"/>
      <c r="J131" s="4"/>
    </row>
    <row r="133" spans="1:11">
      <c r="A133" s="6" t="s">
        <v>137</v>
      </c>
    </row>
    <row r="135" spans="1:11">
      <c r="A135" s="16" t="s">
        <v>80</v>
      </c>
      <c r="B135" s="16"/>
      <c r="C135" s="16"/>
      <c r="D135" s="16"/>
      <c r="E135" s="16"/>
      <c r="F135" s="16"/>
      <c r="G135" s="16"/>
      <c r="H135" s="16"/>
      <c r="I135" s="16"/>
      <c r="J135" s="16"/>
      <c r="K135" s="16"/>
    </row>
    <row r="136" spans="1:11">
      <c r="A136" t="s">
        <v>89</v>
      </c>
      <c r="B136" s="10">
        <f>B54</f>
        <v>1.7500000000000002E-2</v>
      </c>
      <c r="G136" s="1" t="s">
        <v>90</v>
      </c>
      <c r="H136" s="10">
        <f>H54</f>
        <v>1E-3</v>
      </c>
    </row>
    <row r="137" spans="1:11" ht="57.75" customHeight="1">
      <c r="A137" s="42" t="s">
        <v>141</v>
      </c>
      <c r="B137" s="42" t="s">
        <v>143</v>
      </c>
      <c r="C137" s="42" t="s">
        <v>91</v>
      </c>
      <c r="D137" s="42" t="s">
        <v>144</v>
      </c>
      <c r="E137" s="42" t="s">
        <v>92</v>
      </c>
      <c r="F137" s="42" t="s">
        <v>161</v>
      </c>
      <c r="G137" s="42" t="s">
        <v>63</v>
      </c>
      <c r="H137" s="42" t="s">
        <v>146</v>
      </c>
      <c r="I137" s="149" t="s">
        <v>93</v>
      </c>
      <c r="J137" s="150" t="s">
        <v>94</v>
      </c>
    </row>
    <row r="138" spans="1:11">
      <c r="A138" s="44" t="s">
        <v>4</v>
      </c>
      <c r="B138" s="44" t="s">
        <v>5</v>
      </c>
      <c r="C138" s="44" t="s">
        <v>6</v>
      </c>
      <c r="D138" s="44" t="s">
        <v>7</v>
      </c>
      <c r="E138" s="44" t="s">
        <v>8</v>
      </c>
      <c r="F138" s="44" t="s">
        <v>9</v>
      </c>
      <c r="G138" s="44" t="s">
        <v>10</v>
      </c>
      <c r="H138" s="44" t="s">
        <v>11</v>
      </c>
      <c r="I138" s="44" t="s">
        <v>12</v>
      </c>
      <c r="J138" s="44" t="s">
        <v>13</v>
      </c>
    </row>
    <row r="139" spans="1:11">
      <c r="A139" s="170">
        <v>2016</v>
      </c>
      <c r="B139" s="45">
        <f>1-C103</f>
        <v>0.29289321881345254</v>
      </c>
      <c r="C139" s="35">
        <f>C$126</f>
        <v>297.10610114112859</v>
      </c>
      <c r="D139" s="36">
        <f>1/(1+$B$136)^B139</f>
        <v>0.99493158943505977</v>
      </c>
      <c r="E139" s="35">
        <f>C139*D139</f>
        <v>295.60024543919667</v>
      </c>
      <c r="F139" s="35">
        <f>B139*E139</f>
        <v>86.579307368732913</v>
      </c>
      <c r="G139" s="36">
        <f t="shared" ref="G139:G146" si="33">1/(1+$B$136-$H$136)^$B139</f>
        <v>0.99521816830005483</v>
      </c>
      <c r="H139" s="36">
        <f t="shared" ref="H139:H146" si="34">1/(1+$B$136+$H$136)^$B139</f>
        <v>0.99464537448227097</v>
      </c>
      <c r="I139" s="35">
        <f t="shared" ref="I139:I146" si="35">C139*G139</f>
        <v>295.68538976844485</v>
      </c>
      <c r="J139" s="35">
        <f t="shared" ref="J139:J146" si="36">C139*H139</f>
        <v>295.51520923048531</v>
      </c>
    </row>
    <row r="140" spans="1:11" ht="15" customHeight="1">
      <c r="A140" s="170">
        <f>A139+1</f>
        <v>2017</v>
      </c>
      <c r="B140" s="45">
        <f>B139+1</f>
        <v>1.2928932188134525</v>
      </c>
      <c r="C140" s="35">
        <f>D$126</f>
        <v>46.220932572580921</v>
      </c>
      <c r="D140" s="36">
        <f t="shared" ref="D140:D146" si="37">1/(1+$B$136)^B140</f>
        <v>0.97781974391652071</v>
      </c>
      <c r="E140" s="35">
        <f t="shared" ref="E140:E146" si="38">C140*D140</f>
        <v>45.195740451703848</v>
      </c>
      <c r="F140" s="35">
        <f t="shared" ref="F140:F146" si="39">B140*E140</f>
        <v>58.433266349260755</v>
      </c>
      <c r="G140" s="36">
        <f t="shared" si="33"/>
        <v>0.97906361859326563</v>
      </c>
      <c r="H140" s="36">
        <f t="shared" si="34"/>
        <v>0.97657866910384994</v>
      </c>
      <c r="I140" s="35">
        <f t="shared" si="35"/>
        <v>45.253233499266415</v>
      </c>
      <c r="J140" s="35">
        <f t="shared" si="36"/>
        <v>45.138376816469865</v>
      </c>
    </row>
    <row r="141" spans="1:11" ht="15" customHeight="1">
      <c r="A141" s="170">
        <f t="shared" ref="A141:B146" si="40">A140+1</f>
        <v>2018</v>
      </c>
      <c r="B141" s="45">
        <f t="shared" si="40"/>
        <v>2.2928932188134525</v>
      </c>
      <c r="C141" s="35">
        <f>E$126</f>
        <v>14.172966286290473</v>
      </c>
      <c r="D141" s="36">
        <f t="shared" si="37"/>
        <v>0.96100220532336178</v>
      </c>
      <c r="E141" s="35">
        <f t="shared" si="38"/>
        <v>13.6202518570988</v>
      </c>
      <c r="F141" s="35">
        <f t="shared" si="39"/>
        <v>31.229783121673172</v>
      </c>
      <c r="G141" s="36">
        <f t="shared" si="33"/>
        <v>0.96317129227079745</v>
      </c>
      <c r="H141" s="36">
        <f t="shared" si="34"/>
        <v>0.95884012675881192</v>
      </c>
      <c r="I141" s="35">
        <f t="shared" si="35"/>
        <v>13.65099425327684</v>
      </c>
      <c r="J141" s="35">
        <f t="shared" si="36"/>
        <v>13.589608790495125</v>
      </c>
    </row>
    <row r="142" spans="1:11">
      <c r="A142" s="170">
        <f t="shared" si="40"/>
        <v>2019</v>
      </c>
      <c r="B142" s="45">
        <f t="shared" si="40"/>
        <v>3.2928932188134525</v>
      </c>
      <c r="C142" s="35">
        <f>F$126</f>
        <v>0</v>
      </c>
      <c r="D142" s="36">
        <f t="shared" si="37"/>
        <v>0.94447391186571161</v>
      </c>
      <c r="E142" s="35">
        <f t="shared" si="38"/>
        <v>0</v>
      </c>
      <c r="F142" s="35">
        <f t="shared" si="39"/>
        <v>0</v>
      </c>
      <c r="G142" s="36">
        <f t="shared" si="33"/>
        <v>0.9475369328783052</v>
      </c>
      <c r="H142" s="36">
        <f t="shared" si="34"/>
        <v>0.94142378670477367</v>
      </c>
      <c r="I142" s="35">
        <f t="shared" si="35"/>
        <v>0</v>
      </c>
      <c r="J142" s="35">
        <f t="shared" si="36"/>
        <v>0</v>
      </c>
    </row>
    <row r="143" spans="1:11">
      <c r="A143" s="170">
        <f t="shared" si="40"/>
        <v>2020</v>
      </c>
      <c r="B143" s="45">
        <f t="shared" si="40"/>
        <v>4.2928932188134521</v>
      </c>
      <c r="C143" s="35">
        <f>G$126</f>
        <v>0</v>
      </c>
      <c r="D143" s="36">
        <f t="shared" si="37"/>
        <v>0.92822988881151036</v>
      </c>
      <c r="E143" s="35">
        <f t="shared" si="38"/>
        <v>0</v>
      </c>
      <c r="F143" s="35">
        <f t="shared" si="39"/>
        <v>0</v>
      </c>
      <c r="G143" s="36">
        <f t="shared" si="33"/>
        <v>0.93215635305293154</v>
      </c>
      <c r="H143" s="36">
        <f t="shared" si="34"/>
        <v>0.92432379647007734</v>
      </c>
      <c r="I143" s="35">
        <f t="shared" si="35"/>
        <v>0</v>
      </c>
      <c r="J143" s="35">
        <f t="shared" si="36"/>
        <v>0</v>
      </c>
    </row>
    <row r="144" spans="1:11">
      <c r="A144" s="170">
        <f t="shared" si="40"/>
        <v>2021</v>
      </c>
      <c r="B144" s="45">
        <f t="shared" si="40"/>
        <v>5.2928932188134521</v>
      </c>
      <c r="C144" s="35">
        <f>H$126</f>
        <v>0</v>
      </c>
      <c r="D144" s="36">
        <f t="shared" si="37"/>
        <v>0.9122652469891992</v>
      </c>
      <c r="E144" s="35">
        <f t="shared" si="38"/>
        <v>0</v>
      </c>
      <c r="F144" s="35">
        <f t="shared" si="39"/>
        <v>0</v>
      </c>
      <c r="G144" s="36">
        <f t="shared" si="33"/>
        <v>0.91702543340180176</v>
      </c>
      <c r="H144" s="36">
        <f t="shared" si="34"/>
        <v>0.90753440988716472</v>
      </c>
      <c r="I144" s="35">
        <f t="shared" si="35"/>
        <v>0</v>
      </c>
      <c r="J144" s="35">
        <f t="shared" si="36"/>
        <v>0</v>
      </c>
    </row>
    <row r="145" spans="1:10">
      <c r="A145" s="170">
        <f t="shared" si="40"/>
        <v>2022</v>
      </c>
      <c r="B145" s="45">
        <f t="shared" si="40"/>
        <v>6.2928932188134521</v>
      </c>
      <c r="C145" s="35">
        <f>I$126</f>
        <v>0</v>
      </c>
      <c r="D145" s="36">
        <f t="shared" si="37"/>
        <v>0.8965751813161662</v>
      </c>
      <c r="E145" s="35">
        <f t="shared" si="38"/>
        <v>0</v>
      </c>
      <c r="F145" s="35">
        <f t="shared" si="39"/>
        <v>0</v>
      </c>
      <c r="G145" s="36">
        <f t="shared" si="33"/>
        <v>0.90214012139872268</v>
      </c>
      <c r="H145" s="36">
        <f t="shared" si="34"/>
        <v>0.89104998516167377</v>
      </c>
      <c r="I145" s="35">
        <f t="shared" si="35"/>
        <v>0</v>
      </c>
      <c r="J145" s="35">
        <f t="shared" si="36"/>
        <v>0</v>
      </c>
    </row>
    <row r="146" spans="1:10">
      <c r="A146" s="171">
        <f t="shared" si="40"/>
        <v>2023</v>
      </c>
      <c r="B146" s="47">
        <f t="shared" si="40"/>
        <v>7.2928932188134521</v>
      </c>
      <c r="C146" s="38">
        <f>J$126</f>
        <v>0</v>
      </c>
      <c r="D146" s="39">
        <f t="shared" si="37"/>
        <v>0.88115496935249749</v>
      </c>
      <c r="E146" s="38">
        <f t="shared" si="38"/>
        <v>0</v>
      </c>
      <c r="F146" s="38">
        <f t="shared" si="39"/>
        <v>0</v>
      </c>
      <c r="G146" s="39">
        <f t="shared" si="33"/>
        <v>0.88749643029879244</v>
      </c>
      <c r="H146" s="39">
        <f t="shared" si="34"/>
        <v>0.87486498297660653</v>
      </c>
      <c r="I146" s="38">
        <f t="shared" si="35"/>
        <v>0</v>
      </c>
      <c r="J146" s="38">
        <f t="shared" si="36"/>
        <v>0</v>
      </c>
    </row>
    <row r="147" spans="1:10">
      <c r="A147" s="46" t="s">
        <v>2</v>
      </c>
      <c r="B147" s="47"/>
      <c r="C147" s="38"/>
      <c r="D147" s="39"/>
      <c r="E147" s="38">
        <f>SUM(E139:E146)</f>
        <v>354.41623774799933</v>
      </c>
      <c r="F147" s="38">
        <f>SUM(F139:F146)</f>
        <v>176.24235683966683</v>
      </c>
      <c r="G147" s="39"/>
      <c r="H147" s="39"/>
      <c r="I147" s="38">
        <f>SUM(I139:I146)</f>
        <v>354.5896175209881</v>
      </c>
      <c r="J147" s="38">
        <f>SUM(J139:J146)</f>
        <v>354.24319483745029</v>
      </c>
    </row>
    <row r="148" spans="1:10">
      <c r="E148" s="11" t="s">
        <v>134</v>
      </c>
      <c r="F148" s="3">
        <f>SUM(F139:F146)/SUM(E139:E146)</f>
        <v>0.49727506267639032</v>
      </c>
      <c r="I148" s="11" t="s">
        <v>72</v>
      </c>
      <c r="J148" s="13">
        <f>(SUM(I139:I146)-SUM(J139:J146))/(2*H136*SUM(E139:E146))</f>
        <v>0.48872292891970559</v>
      </c>
    </row>
    <row r="149" spans="1:10">
      <c r="E149" s="12" t="s">
        <v>65</v>
      </c>
      <c r="F149" s="13">
        <f>F148/(1+B136)</f>
        <v>0.48872242032077667</v>
      </c>
    </row>
    <row r="151" spans="1:10">
      <c r="A151" s="16" t="s">
        <v>160</v>
      </c>
      <c r="B151" s="16"/>
      <c r="C151" s="16"/>
      <c r="D151" s="16"/>
      <c r="E151" s="16"/>
      <c r="F151" s="16"/>
      <c r="G151" s="16"/>
      <c r="H151" s="154" t="s">
        <v>47</v>
      </c>
      <c r="I151" s="155">
        <v>5</v>
      </c>
      <c r="J151" s="16"/>
    </row>
    <row r="152" spans="1:10">
      <c r="A152" t="s">
        <v>89</v>
      </c>
      <c r="B152" s="10">
        <f>B136</f>
        <v>1.7500000000000002E-2</v>
      </c>
      <c r="G152" s="1" t="s">
        <v>90</v>
      </c>
      <c r="H152" s="10">
        <f>H136</f>
        <v>1E-3</v>
      </c>
    </row>
    <row r="153" spans="1:10" ht="86.4">
      <c r="A153" s="42" t="s">
        <v>141</v>
      </c>
      <c r="B153" s="42" t="s">
        <v>143</v>
      </c>
      <c r="C153" s="42" t="s">
        <v>91</v>
      </c>
      <c r="D153" s="42" t="s">
        <v>144</v>
      </c>
      <c r="E153" s="42" t="s">
        <v>92</v>
      </c>
      <c r="F153" s="42" t="s">
        <v>161</v>
      </c>
      <c r="G153" s="42" t="s">
        <v>63</v>
      </c>
      <c r="H153" s="42" t="s">
        <v>146</v>
      </c>
      <c r="I153" s="42" t="s">
        <v>93</v>
      </c>
      <c r="J153" s="42" t="s">
        <v>180</v>
      </c>
    </row>
    <row r="154" spans="1:10">
      <c r="A154" s="44" t="s">
        <v>4</v>
      </c>
      <c r="B154" s="44" t="s">
        <v>5</v>
      </c>
      <c r="C154" s="44" t="s">
        <v>6</v>
      </c>
      <c r="D154" s="44" t="s">
        <v>7</v>
      </c>
      <c r="E154" s="44" t="s">
        <v>8</v>
      </c>
      <c r="F154" s="44" t="s">
        <v>9</v>
      </c>
      <c r="G154" s="44" t="s">
        <v>10</v>
      </c>
      <c r="H154" s="44" t="s">
        <v>11</v>
      </c>
      <c r="I154" s="44" t="s">
        <v>12</v>
      </c>
      <c r="J154" s="44" t="s">
        <v>13</v>
      </c>
    </row>
    <row r="155" spans="1:10">
      <c r="A155" s="170">
        <v>2016</v>
      </c>
      <c r="B155" s="45">
        <f>B139</f>
        <v>0.29289321881345254</v>
      </c>
      <c r="C155" s="35">
        <f>C$127</f>
        <v>127.17695228863442</v>
      </c>
      <c r="D155" s="36">
        <f>1/(1+$B$136)^B155</f>
        <v>0.99493158943505977</v>
      </c>
      <c r="E155" s="35">
        <f>C155*D155</f>
        <v>126.53236728003782</v>
      </c>
      <c r="F155" s="35">
        <f>B155*E155</f>
        <v>37.060472336736261</v>
      </c>
      <c r="G155" s="36">
        <f t="shared" ref="G155:G162" si="41">1/(1+$B$136-$H$136)^$B155</f>
        <v>0.99521816830005483</v>
      </c>
      <c r="H155" s="36">
        <f t="shared" ref="H155:H162" si="42">1/(1+$B$136+$H$136)^$B155</f>
        <v>0.99464537448227097</v>
      </c>
      <c r="I155" s="35">
        <f t="shared" ref="I155:I162" si="43">C155*G155</f>
        <v>126.56881350667823</v>
      </c>
      <c r="J155" s="35">
        <f t="shared" ref="J155:J162" si="44">C155*H155</f>
        <v>126.4959673346427</v>
      </c>
    </row>
    <row r="156" spans="1:10" ht="15" customHeight="1">
      <c r="A156" s="170">
        <f>A155+1</f>
        <v>2017</v>
      </c>
      <c r="B156" s="45">
        <f>B155+1</f>
        <v>1.2928932188134525</v>
      </c>
      <c r="C156" s="35">
        <f>D$127</f>
        <v>87.09830308905083</v>
      </c>
      <c r="D156" s="36">
        <f t="shared" ref="D156:D162" si="45">1/(1+$B$136)^B156</f>
        <v>0.97781974391652071</v>
      </c>
      <c r="E156" s="35">
        <f t="shared" ref="E156:E162" si="46">C156*D156</f>
        <v>85.166440422099186</v>
      </c>
      <c r="F156" s="35">
        <f t="shared" ref="F156:F162" si="47">B156*E156</f>
        <v>110.11111329221195</v>
      </c>
      <c r="G156" s="36">
        <f t="shared" si="41"/>
        <v>0.97906361859326563</v>
      </c>
      <c r="H156" s="36">
        <f t="shared" si="42"/>
        <v>0.97657866910384994</v>
      </c>
      <c r="I156" s="35">
        <f t="shared" si="43"/>
        <v>85.274779795699118</v>
      </c>
      <c r="J156" s="35">
        <f t="shared" si="44"/>
        <v>85.058344911909003</v>
      </c>
    </row>
    <row r="157" spans="1:10" ht="15" customHeight="1">
      <c r="A157" s="170">
        <f t="shared" ref="A157:B157" si="48">A156+1</f>
        <v>2018</v>
      </c>
      <c r="B157" s="45">
        <f t="shared" si="48"/>
        <v>2.2928932188134525</v>
      </c>
      <c r="C157" s="35">
        <f>E$127</f>
        <v>32.072767696350283</v>
      </c>
      <c r="D157" s="36">
        <f t="shared" si="45"/>
        <v>0.96100220532336178</v>
      </c>
      <c r="E157" s="35">
        <f t="shared" si="46"/>
        <v>30.822000487016499</v>
      </c>
      <c r="F157" s="35">
        <f t="shared" si="47"/>
        <v>70.671555906945059</v>
      </c>
      <c r="G157" s="36">
        <f t="shared" si="41"/>
        <v>0.96317129227079745</v>
      </c>
      <c r="H157" s="36">
        <f t="shared" si="42"/>
        <v>0.95884012675881192</v>
      </c>
      <c r="I157" s="35">
        <f t="shared" si="43"/>
        <v>30.891569108794791</v>
      </c>
      <c r="J157" s="35">
        <f t="shared" si="44"/>
        <v>30.752656643474435</v>
      </c>
    </row>
    <row r="158" spans="1:10">
      <c r="A158" s="170">
        <f t="shared" ref="A158:B158" si="49">A157+1</f>
        <v>2019</v>
      </c>
      <c r="B158" s="45">
        <f t="shared" si="49"/>
        <v>3.2928932188134525</v>
      </c>
      <c r="C158" s="35">
        <f>F$127</f>
        <v>15.19999999999998</v>
      </c>
      <c r="D158" s="36">
        <f t="shared" si="45"/>
        <v>0.94447391186571161</v>
      </c>
      <c r="E158" s="35">
        <f t="shared" si="46"/>
        <v>14.356003460358798</v>
      </c>
      <c r="F158" s="35">
        <f t="shared" si="47"/>
        <v>47.272786443877941</v>
      </c>
      <c r="G158" s="36">
        <f t="shared" si="41"/>
        <v>0.9475369328783052</v>
      </c>
      <c r="H158" s="36">
        <f t="shared" si="42"/>
        <v>0.94142378670477367</v>
      </c>
      <c r="I158" s="35">
        <f t="shared" si="43"/>
        <v>14.402561379750219</v>
      </c>
      <c r="J158" s="35">
        <f t="shared" si="44"/>
        <v>14.30964155791254</v>
      </c>
    </row>
    <row r="159" spans="1:10">
      <c r="A159" s="170">
        <f t="shared" ref="A159:B159" si="50">A158+1</f>
        <v>2020</v>
      </c>
      <c r="B159" s="45">
        <f t="shared" si="50"/>
        <v>4.2928932188134521</v>
      </c>
      <c r="C159" s="35">
        <f>G$127</f>
        <v>15.200000000000014</v>
      </c>
      <c r="D159" s="36">
        <f t="shared" si="45"/>
        <v>0.92822988881151036</v>
      </c>
      <c r="E159" s="35">
        <f t="shared" si="46"/>
        <v>14.109094309934971</v>
      </c>
      <c r="F159" s="35">
        <f t="shared" si="47"/>
        <v>60.568835286719299</v>
      </c>
      <c r="G159" s="36">
        <f t="shared" si="41"/>
        <v>0.93215635305293154</v>
      </c>
      <c r="H159" s="36">
        <f t="shared" si="42"/>
        <v>0.92432379647007734</v>
      </c>
      <c r="I159" s="35">
        <f t="shared" si="43"/>
        <v>14.168776566404572</v>
      </c>
      <c r="J159" s="35">
        <f t="shared" si="44"/>
        <v>14.049721706345188</v>
      </c>
    </row>
    <row r="160" spans="1:10">
      <c r="A160" s="170">
        <f t="shared" ref="A160:B160" si="51">A159+1</f>
        <v>2021</v>
      </c>
      <c r="B160" s="45">
        <f t="shared" si="51"/>
        <v>5.2928932188134521</v>
      </c>
      <c r="C160" s="35">
        <f>H$127</f>
        <v>14.570395385192867</v>
      </c>
      <c r="D160" s="36">
        <f t="shared" si="45"/>
        <v>0.9122652469891992</v>
      </c>
      <c r="E160" s="35">
        <f t="shared" si="46"/>
        <v>13.292065344803259</v>
      </c>
      <c r="F160" s="35">
        <f t="shared" si="47"/>
        <v>70.353482527534453</v>
      </c>
      <c r="G160" s="36">
        <f t="shared" si="41"/>
        <v>0.91702543340180176</v>
      </c>
      <c r="H160" s="36">
        <f t="shared" si="42"/>
        <v>0.90753440988716472</v>
      </c>
      <c r="I160" s="35">
        <f t="shared" si="43"/>
        <v>13.361423142942101</v>
      </c>
      <c r="J160" s="35">
        <f t="shared" si="44"/>
        <v>13.223135177723677</v>
      </c>
    </row>
    <row r="161" spans="1:10">
      <c r="A161" s="170">
        <f t="shared" ref="A161:B161" si="52">A160+1</f>
        <v>2022</v>
      </c>
      <c r="B161" s="45">
        <f t="shared" si="52"/>
        <v>6.2928932188134521</v>
      </c>
      <c r="C161" s="35">
        <f>I$127</f>
        <v>10.271186155578707</v>
      </c>
      <c r="D161" s="36">
        <f t="shared" si="45"/>
        <v>0.8965751813161662</v>
      </c>
      <c r="E161" s="35">
        <f t="shared" si="46"/>
        <v>9.2088905897700748</v>
      </c>
      <c r="F161" s="35">
        <f t="shared" si="47"/>
        <v>57.950565145159118</v>
      </c>
      <c r="G161" s="36">
        <f t="shared" si="41"/>
        <v>0.90214012139872268</v>
      </c>
      <c r="H161" s="36">
        <f t="shared" si="42"/>
        <v>0.89104998516167377</v>
      </c>
      <c r="I161" s="35">
        <f t="shared" si="43"/>
        <v>9.2660491253026542</v>
      </c>
      <c r="J161" s="35">
        <f t="shared" si="44"/>
        <v>9.1521402715211959</v>
      </c>
    </row>
    <row r="162" spans="1:10">
      <c r="A162" s="171">
        <f t="shared" ref="A162:B162" si="53">A161+1</f>
        <v>2023</v>
      </c>
      <c r="B162" s="47">
        <f t="shared" si="53"/>
        <v>7.2928932188134521</v>
      </c>
      <c r="C162" s="38">
        <f>J$127</f>
        <v>2.4103953851928903</v>
      </c>
      <c r="D162" s="39">
        <f t="shared" si="45"/>
        <v>0.88115496935249749</v>
      </c>
      <c r="E162" s="38">
        <f t="shared" si="46"/>
        <v>2.1239318717670428</v>
      </c>
      <c r="F162" s="38">
        <f t="shared" si="47"/>
        <v>15.489608344831629</v>
      </c>
      <c r="G162" s="39">
        <f t="shared" si="41"/>
        <v>0.88749643029879244</v>
      </c>
      <c r="H162" s="39">
        <f t="shared" si="42"/>
        <v>0.87486498297660653</v>
      </c>
      <c r="I162" s="38">
        <f t="shared" si="43"/>
        <v>2.1392172999673731</v>
      </c>
      <c r="J162" s="38">
        <f t="shared" si="44"/>
        <v>2.1087705176336691</v>
      </c>
    </row>
    <row r="163" spans="1:10">
      <c r="A163" s="46" t="s">
        <v>2</v>
      </c>
      <c r="B163" s="47"/>
      <c r="C163" s="38"/>
      <c r="D163" s="39"/>
      <c r="E163" s="38">
        <f>SUM(E155:E162)</f>
        <v>295.61079376578766</v>
      </c>
      <c r="F163" s="38">
        <f>SUM(F155:F162)</f>
        <v>469.47841928401573</v>
      </c>
      <c r="G163" s="39"/>
      <c r="H163" s="39"/>
      <c r="I163" s="38">
        <f>SUM(I155:I162)</f>
        <v>296.073189925539</v>
      </c>
      <c r="J163" s="38">
        <f>SUM(J155:J162)</f>
        <v>295.15037812116242</v>
      </c>
    </row>
    <row r="164" spans="1:10">
      <c r="E164" s="11" t="s">
        <v>134</v>
      </c>
      <c r="F164" s="3">
        <f>SUM(F155:F162)/SUM(E155:E162)</f>
        <v>1.5881639953106155</v>
      </c>
      <c r="I164" s="11" t="s">
        <v>72</v>
      </c>
      <c r="J164" s="13">
        <f>(SUM(I155:I162)-SUM(J155:J162))/(2*H152*SUM(E155:E162))</f>
        <v>1.5608560712903508</v>
      </c>
    </row>
    <row r="165" spans="1:10">
      <c r="E165" s="12" t="s">
        <v>65</v>
      </c>
      <c r="F165" s="13">
        <f>F164/(1+B152)</f>
        <v>1.5608491354404082</v>
      </c>
    </row>
    <row r="167" spans="1:10">
      <c r="A167" s="16" t="s">
        <v>181</v>
      </c>
      <c r="B167" s="16"/>
      <c r="C167" s="16"/>
      <c r="D167" s="16"/>
      <c r="E167" s="16"/>
      <c r="F167" s="16"/>
      <c r="G167" s="16"/>
      <c r="H167" s="16"/>
      <c r="I167" s="16"/>
      <c r="J167" s="16"/>
    </row>
    <row r="168" spans="1:10">
      <c r="A168" t="s">
        <v>89</v>
      </c>
      <c r="B168" s="10">
        <f>B152</f>
        <v>1.7500000000000002E-2</v>
      </c>
      <c r="G168" s="1" t="s">
        <v>90</v>
      </c>
      <c r="H168" s="10">
        <f>H152</f>
        <v>1E-3</v>
      </c>
    </row>
    <row r="169" spans="1:10" ht="58.2" customHeight="1">
      <c r="A169" s="42" t="s">
        <v>141</v>
      </c>
      <c r="B169" s="42" t="s">
        <v>143</v>
      </c>
      <c r="C169" s="42" t="s">
        <v>91</v>
      </c>
      <c r="D169" s="42" t="s">
        <v>144</v>
      </c>
      <c r="E169" s="42" t="s">
        <v>92</v>
      </c>
      <c r="F169" s="42" t="s">
        <v>161</v>
      </c>
      <c r="G169" s="42" t="s">
        <v>63</v>
      </c>
      <c r="H169" s="42" t="s">
        <v>146</v>
      </c>
      <c r="I169" s="149" t="s">
        <v>93</v>
      </c>
      <c r="J169" s="150" t="s">
        <v>94</v>
      </c>
    </row>
    <row r="170" spans="1:10">
      <c r="A170" s="44" t="s">
        <v>4</v>
      </c>
      <c r="B170" s="44" t="s">
        <v>5</v>
      </c>
      <c r="C170" s="44" t="s">
        <v>6</v>
      </c>
      <c r="D170" s="44" t="s">
        <v>7</v>
      </c>
      <c r="E170" s="44" t="s">
        <v>8</v>
      </c>
      <c r="F170" s="44" t="s">
        <v>9</v>
      </c>
      <c r="G170" s="44" t="s">
        <v>10</v>
      </c>
      <c r="H170" s="44" t="s">
        <v>11</v>
      </c>
      <c r="I170" s="44" t="s">
        <v>12</v>
      </c>
      <c r="J170" s="44" t="s">
        <v>13</v>
      </c>
    </row>
    <row r="171" spans="1:10">
      <c r="A171" s="168">
        <v>2016</v>
      </c>
      <c r="B171" s="45">
        <f>B155</f>
        <v>0.29289321881345254</v>
      </c>
      <c r="C171" s="35">
        <f>C$128</f>
        <v>32.550000000000004</v>
      </c>
      <c r="D171" s="36">
        <f>1/(1+$B$136)^B171</f>
        <v>0.99493158943505977</v>
      </c>
      <c r="E171" s="35">
        <f>C171*D171</f>
        <v>32.385023236111202</v>
      </c>
      <c r="F171" s="35">
        <f>B171*E171</f>
        <v>9.4853536969730623</v>
      </c>
      <c r="G171" s="36">
        <f t="shared" ref="G171:G178" si="54">1/(1+$B$136-$H$136)^$B171</f>
        <v>0.99521816830005483</v>
      </c>
      <c r="H171" s="36">
        <f t="shared" ref="H171:H178" si="55">1/(1+$B$136+$H$136)^$B171</f>
        <v>0.99464537448227097</v>
      </c>
      <c r="I171" s="35">
        <f t="shared" ref="I171:I178" si="56">C171*G171</f>
        <v>32.394351378166789</v>
      </c>
      <c r="J171" s="35">
        <f t="shared" ref="J171:J178" si="57">C171*H171</f>
        <v>32.375706939397922</v>
      </c>
    </row>
    <row r="172" spans="1:10" ht="15" customHeight="1">
      <c r="A172" s="168">
        <f>A171+1</f>
        <v>2017</v>
      </c>
      <c r="B172" s="45">
        <f>B171+1</f>
        <v>1.2928932188134525</v>
      </c>
      <c r="C172" s="35">
        <f>D$128</f>
        <v>0</v>
      </c>
      <c r="D172" s="36">
        <f t="shared" ref="D172:D178" si="58">1/(1+$B$136)^B172</f>
        <v>0.97781974391652071</v>
      </c>
      <c r="E172" s="35">
        <f t="shared" ref="E172:E178" si="59">C172*D172</f>
        <v>0</v>
      </c>
      <c r="F172" s="35">
        <f t="shared" ref="F172:F178" si="60">B172*E172</f>
        <v>0</v>
      </c>
      <c r="G172" s="36">
        <f t="shared" si="54"/>
        <v>0.97906361859326563</v>
      </c>
      <c r="H172" s="36">
        <f t="shared" si="55"/>
        <v>0.97657866910384994</v>
      </c>
      <c r="I172" s="35">
        <f t="shared" si="56"/>
        <v>0</v>
      </c>
      <c r="J172" s="35">
        <f t="shared" si="57"/>
        <v>0</v>
      </c>
    </row>
    <row r="173" spans="1:10" ht="15" customHeight="1">
      <c r="A173" s="168">
        <f t="shared" ref="A173:B173" si="61">A172+1</f>
        <v>2018</v>
      </c>
      <c r="B173" s="45">
        <f t="shared" si="61"/>
        <v>2.2928932188134525</v>
      </c>
      <c r="C173" s="35">
        <f>E$128</f>
        <v>0</v>
      </c>
      <c r="D173" s="36">
        <f t="shared" si="58"/>
        <v>0.96100220532336178</v>
      </c>
      <c r="E173" s="35">
        <f t="shared" si="59"/>
        <v>0</v>
      </c>
      <c r="F173" s="35">
        <f t="shared" si="60"/>
        <v>0</v>
      </c>
      <c r="G173" s="36">
        <f t="shared" si="54"/>
        <v>0.96317129227079745</v>
      </c>
      <c r="H173" s="36">
        <f t="shared" si="55"/>
        <v>0.95884012675881192</v>
      </c>
      <c r="I173" s="35">
        <f t="shared" si="56"/>
        <v>0</v>
      </c>
      <c r="J173" s="35">
        <f t="shared" si="57"/>
        <v>0</v>
      </c>
    </row>
    <row r="174" spans="1:10">
      <c r="A174" s="168">
        <f t="shared" ref="A174:B174" si="62">A173+1</f>
        <v>2019</v>
      </c>
      <c r="B174" s="45">
        <f t="shared" si="62"/>
        <v>3.2928932188134525</v>
      </c>
      <c r="C174" s="35">
        <f>F$128</f>
        <v>0</v>
      </c>
      <c r="D174" s="36">
        <f t="shared" si="58"/>
        <v>0.94447391186571161</v>
      </c>
      <c r="E174" s="35">
        <f t="shared" si="59"/>
        <v>0</v>
      </c>
      <c r="F174" s="35">
        <f t="shared" si="60"/>
        <v>0</v>
      </c>
      <c r="G174" s="36">
        <f t="shared" si="54"/>
        <v>0.9475369328783052</v>
      </c>
      <c r="H174" s="36">
        <f t="shared" si="55"/>
        <v>0.94142378670477367</v>
      </c>
      <c r="I174" s="35">
        <f t="shared" si="56"/>
        <v>0</v>
      </c>
      <c r="J174" s="35">
        <f t="shared" si="57"/>
        <v>0</v>
      </c>
    </row>
    <row r="175" spans="1:10">
      <c r="A175" s="168">
        <f t="shared" ref="A175:B175" si="63">A174+1</f>
        <v>2020</v>
      </c>
      <c r="B175" s="45">
        <f t="shared" si="63"/>
        <v>4.2928932188134521</v>
      </c>
      <c r="C175" s="35">
        <f>G$128</f>
        <v>0</v>
      </c>
      <c r="D175" s="36">
        <f t="shared" si="58"/>
        <v>0.92822988881151036</v>
      </c>
      <c r="E175" s="35">
        <f t="shared" si="59"/>
        <v>0</v>
      </c>
      <c r="F175" s="35">
        <f t="shared" si="60"/>
        <v>0</v>
      </c>
      <c r="G175" s="36">
        <f t="shared" si="54"/>
        <v>0.93215635305293154</v>
      </c>
      <c r="H175" s="36">
        <f t="shared" si="55"/>
        <v>0.92432379647007734</v>
      </c>
      <c r="I175" s="35">
        <f t="shared" si="56"/>
        <v>0</v>
      </c>
      <c r="J175" s="35">
        <f t="shared" si="57"/>
        <v>0</v>
      </c>
    </row>
    <row r="176" spans="1:10">
      <c r="A176" s="168">
        <f t="shared" ref="A176:B176" si="64">A175+1</f>
        <v>2021</v>
      </c>
      <c r="B176" s="45">
        <f t="shared" si="64"/>
        <v>5.2928932188134521</v>
      </c>
      <c r="C176" s="35">
        <f>H$128</f>
        <v>0</v>
      </c>
      <c r="D176" s="36">
        <f t="shared" si="58"/>
        <v>0.9122652469891992</v>
      </c>
      <c r="E176" s="35">
        <f t="shared" si="59"/>
        <v>0</v>
      </c>
      <c r="F176" s="35">
        <f t="shared" si="60"/>
        <v>0</v>
      </c>
      <c r="G176" s="36">
        <f t="shared" si="54"/>
        <v>0.91702543340180176</v>
      </c>
      <c r="H176" s="36">
        <f t="shared" si="55"/>
        <v>0.90753440988716472</v>
      </c>
      <c r="I176" s="35">
        <f t="shared" si="56"/>
        <v>0</v>
      </c>
      <c r="J176" s="35">
        <f t="shared" si="57"/>
        <v>0</v>
      </c>
    </row>
    <row r="177" spans="1:10">
      <c r="A177" s="168">
        <f t="shared" ref="A177:B177" si="65">A176+1</f>
        <v>2022</v>
      </c>
      <c r="B177" s="45">
        <f t="shared" si="65"/>
        <v>6.2928932188134521</v>
      </c>
      <c r="C177" s="35">
        <f>I$128</f>
        <v>0</v>
      </c>
      <c r="D177" s="36">
        <f t="shared" si="58"/>
        <v>0.8965751813161662</v>
      </c>
      <c r="E177" s="35">
        <f t="shared" si="59"/>
        <v>0</v>
      </c>
      <c r="F177" s="35">
        <f t="shared" si="60"/>
        <v>0</v>
      </c>
      <c r="G177" s="36">
        <f t="shared" si="54"/>
        <v>0.90214012139872268</v>
      </c>
      <c r="H177" s="36">
        <f t="shared" si="55"/>
        <v>0.89104998516167377</v>
      </c>
      <c r="I177" s="35">
        <f t="shared" si="56"/>
        <v>0</v>
      </c>
      <c r="J177" s="35">
        <f t="shared" si="57"/>
        <v>0</v>
      </c>
    </row>
    <row r="178" spans="1:10">
      <c r="A178" s="169">
        <f t="shared" ref="A178:B178" si="66">A177+1</f>
        <v>2023</v>
      </c>
      <c r="B178" s="47">
        <f t="shared" si="66"/>
        <v>7.2928932188134521</v>
      </c>
      <c r="C178" s="38">
        <f>J$128</f>
        <v>0</v>
      </c>
      <c r="D178" s="39">
        <f t="shared" si="58"/>
        <v>0.88115496935249749</v>
      </c>
      <c r="E178" s="38">
        <f t="shared" si="59"/>
        <v>0</v>
      </c>
      <c r="F178" s="38">
        <f t="shared" si="60"/>
        <v>0</v>
      </c>
      <c r="G178" s="39">
        <f t="shared" si="54"/>
        <v>0.88749643029879244</v>
      </c>
      <c r="H178" s="39">
        <f t="shared" si="55"/>
        <v>0.87486498297660653</v>
      </c>
      <c r="I178" s="38">
        <f t="shared" si="56"/>
        <v>0</v>
      </c>
      <c r="J178" s="38">
        <f t="shared" si="57"/>
        <v>0</v>
      </c>
    </row>
    <row r="179" spans="1:10">
      <c r="A179" s="46" t="s">
        <v>2</v>
      </c>
      <c r="B179" s="47"/>
      <c r="C179" s="38"/>
      <c r="D179" s="39"/>
      <c r="E179" s="38">
        <f>SUM(E171:E178)</f>
        <v>32.385023236111202</v>
      </c>
      <c r="F179" s="38">
        <f>SUM(F171:F178)</f>
        <v>9.4853536969730623</v>
      </c>
      <c r="G179" s="39"/>
      <c r="H179" s="39"/>
      <c r="I179" s="38">
        <f>SUM(I171:I178)</f>
        <v>32.394351378166789</v>
      </c>
      <c r="J179" s="38">
        <f>SUM(J171:J178)</f>
        <v>32.375706939397922</v>
      </c>
    </row>
    <row r="180" spans="1:10">
      <c r="E180" s="11" t="s">
        <v>134</v>
      </c>
      <c r="F180" s="3">
        <f>SUM(F171:F178)/SUM(E171:E178)</f>
        <v>0.29289321881345254</v>
      </c>
      <c r="I180" s="11" t="s">
        <v>72</v>
      </c>
      <c r="J180" s="13">
        <f>(SUM(I171:I178)-SUM(J171:J178))/(2*H168*SUM(E171:E178))</f>
        <v>0.28785588067877366</v>
      </c>
    </row>
    <row r="181" spans="1:10">
      <c r="E181" s="12" t="s">
        <v>65</v>
      </c>
      <c r="F181" s="13">
        <f>F180/(1+B168)</f>
        <v>0.28785574330560443</v>
      </c>
    </row>
    <row r="183" spans="1:10" s="143" customFormat="1" ht="13.8">
      <c r="A183" s="144" t="s">
        <v>148</v>
      </c>
      <c r="E183" s="145" t="s">
        <v>150</v>
      </c>
    </row>
    <row r="184" spans="1:10" s="143" customFormat="1" ht="13.8">
      <c r="A184" s="146" t="s">
        <v>66</v>
      </c>
      <c r="E184" s="145" t="s">
        <v>151</v>
      </c>
    </row>
    <row r="185" spans="1:10" s="143" customFormat="1" ht="13.8">
      <c r="A185" s="145" t="s">
        <v>163</v>
      </c>
      <c r="E185" s="145" t="s">
        <v>95</v>
      </c>
    </row>
    <row r="186" spans="1:10" s="143" customFormat="1" ht="13.8">
      <c r="A186" s="145" t="s">
        <v>106</v>
      </c>
      <c r="E186" s="145" t="s">
        <v>96</v>
      </c>
    </row>
    <row r="187" spans="1:10" s="143" customFormat="1" ht="13.8">
      <c r="A187" s="145" t="s">
        <v>67</v>
      </c>
      <c r="E187" s="145" t="s">
        <v>73</v>
      </c>
    </row>
    <row r="189" spans="1:10">
      <c r="A189" s="6" t="s">
        <v>182</v>
      </c>
    </row>
    <row r="191" spans="1:10">
      <c r="C191" s="19" t="s">
        <v>108</v>
      </c>
      <c r="D191" s="19"/>
      <c r="E191" s="19" t="s">
        <v>138</v>
      </c>
      <c r="F191" s="19" t="s">
        <v>14</v>
      </c>
      <c r="G191" s="19" t="s">
        <v>14</v>
      </c>
    </row>
    <row r="192" spans="1:10">
      <c r="C192" s="19" t="s">
        <v>107</v>
      </c>
      <c r="D192" s="19" t="s">
        <v>97</v>
      </c>
      <c r="E192" s="19" t="s">
        <v>107</v>
      </c>
      <c r="F192" s="19" t="s">
        <v>98</v>
      </c>
      <c r="G192" s="19" t="s">
        <v>99</v>
      </c>
    </row>
    <row r="193" spans="1:7">
      <c r="B193" t="str">
        <f>A135</f>
        <v>Bien</v>
      </c>
      <c r="C193" s="4">
        <f>E147</f>
        <v>354.41623774799933</v>
      </c>
      <c r="D193" s="4">
        <v>12</v>
      </c>
      <c r="E193" s="4">
        <f>C193+D193</f>
        <v>366.41623774799933</v>
      </c>
      <c r="F193" s="3">
        <f>F149</f>
        <v>0.48872242032077667</v>
      </c>
      <c r="G193" s="3">
        <f>J148</f>
        <v>0.48872292891970559</v>
      </c>
    </row>
    <row r="194" spans="1:7">
      <c r="B194" t="str">
        <f>A151</f>
        <v>R.C.</v>
      </c>
      <c r="C194" s="4">
        <f>E163</f>
        <v>295.61079376578766</v>
      </c>
      <c r="D194" s="4">
        <v>51</v>
      </c>
      <c r="E194" s="4">
        <f t="shared" ref="E194:E195" si="67">C194+D194</f>
        <v>346.61079376578766</v>
      </c>
      <c r="F194" s="3">
        <f>F165</f>
        <v>1.5608491354404082</v>
      </c>
      <c r="G194" s="3">
        <f>J164</f>
        <v>1.5608560712903508</v>
      </c>
    </row>
    <row r="195" spans="1:7" ht="22.5" customHeight="1">
      <c r="A195" s="174" t="str">
        <f>A167</f>
        <v>Frais d'administration</v>
      </c>
      <c r="B195" s="174"/>
      <c r="C195" s="18">
        <f>E179</f>
        <v>32.385023236111202</v>
      </c>
      <c r="D195" s="18">
        <v>0</v>
      </c>
      <c r="E195" s="18">
        <f t="shared" si="67"/>
        <v>32.385023236111202</v>
      </c>
      <c r="F195" s="20">
        <f>F181</f>
        <v>0.28785574330560443</v>
      </c>
      <c r="G195" s="20">
        <f>J180</f>
        <v>0.28785588067877366</v>
      </c>
    </row>
    <row r="196" spans="1:7">
      <c r="B196" t="s">
        <v>2</v>
      </c>
      <c r="C196" s="4">
        <f>SUM(C193:C195)</f>
        <v>682.41205474989829</v>
      </c>
      <c r="D196" s="4">
        <f t="shared" ref="D196:E196" si="68">SUM(D193:D195)</f>
        <v>63</v>
      </c>
      <c r="E196" s="4">
        <f t="shared" si="68"/>
        <v>745.41205474989829</v>
      </c>
      <c r="F196" s="13">
        <f>SUMPRODUCT(E193:E195,F193:F195)/E196</f>
        <v>0.97852617036225664</v>
      </c>
      <c r="G196" s="13">
        <f>SUMPRODUCT(E193:E195,G193:G195)/E196</f>
        <v>0.97852965145459581</v>
      </c>
    </row>
  </sheetData>
  <mergeCells count="4">
    <mergeCell ref="C23:I23"/>
    <mergeCell ref="C37:I37"/>
    <mergeCell ref="D124:J124"/>
    <mergeCell ref="A195:B195"/>
  </mergeCells>
  <printOptions horizontalCentered="1"/>
  <pageMargins left="0.59055118110236227" right="0.39370078740157483" top="0.59055118110236227" bottom="0.74803149606299213" header="0.31496062992125984" footer="0.31496062992125984"/>
  <pageSetup scale="76" fitToHeight="4" orientation="portrait" r:id="rId1"/>
  <headerFooter>
    <oddHeader>&amp;C&amp;G</oddHeader>
  </headerFooter>
  <rowBreaks count="3" manualBreakCount="3">
    <brk id="50" max="16383" man="1"/>
    <brk id="96" max="16383" man="1"/>
    <brk id="150" max="16383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47"/>
  <sheetViews>
    <sheetView view="pageLayout" zoomScaleNormal="100" workbookViewId="0">
      <selection activeCell="A4" sqref="A4:F4"/>
    </sheetView>
  </sheetViews>
  <sheetFormatPr defaultColWidth="12.44140625" defaultRowHeight="15"/>
  <cols>
    <col min="1" max="1" width="42.44140625" style="25" customWidth="1"/>
    <col min="2" max="2" width="12.44140625" style="25"/>
    <col min="3" max="3" width="16.5546875" style="25" customWidth="1"/>
    <col min="4" max="4" width="12.44140625" style="25"/>
    <col min="5" max="5" width="15.44140625" style="25" customWidth="1"/>
    <col min="6" max="6" width="16" style="25" customWidth="1"/>
    <col min="7" max="16384" width="12.44140625" style="25"/>
  </cols>
  <sheetData>
    <row r="1" spans="1:7" ht="15.6">
      <c r="A1" s="52" t="s">
        <v>109</v>
      </c>
      <c r="B1" s="68"/>
      <c r="C1" s="81"/>
      <c r="D1" s="81"/>
      <c r="E1" s="81"/>
      <c r="F1" s="152" t="s">
        <v>46</v>
      </c>
      <c r="G1" s="153" t="s">
        <v>17</v>
      </c>
    </row>
    <row r="2" spans="1:7" ht="15.6">
      <c r="A2" s="53" t="s">
        <v>110</v>
      </c>
      <c r="B2" s="69"/>
      <c r="C2" s="82"/>
      <c r="D2" s="82"/>
      <c r="E2" s="82"/>
      <c r="F2" s="154" t="s">
        <v>47</v>
      </c>
      <c r="G2" s="155">
        <v>6</v>
      </c>
    </row>
    <row r="3" spans="1:7">
      <c r="A3" s="175" t="s">
        <v>21</v>
      </c>
      <c r="B3" s="175"/>
      <c r="C3" s="175"/>
      <c r="D3" s="175"/>
      <c r="E3" s="175"/>
      <c r="F3" s="175"/>
      <c r="G3" s="81"/>
    </row>
    <row r="4" spans="1:7" ht="29.25" customHeight="1">
      <c r="A4" s="176" t="s">
        <v>111</v>
      </c>
      <c r="B4" s="177"/>
      <c r="C4" s="177"/>
      <c r="D4" s="177"/>
      <c r="E4" s="177"/>
      <c r="F4" s="177"/>
      <c r="G4" s="131"/>
    </row>
    <row r="5" spans="1:7" ht="29.25" customHeight="1">
      <c r="A5" s="54"/>
      <c r="B5" s="70"/>
      <c r="C5" s="54"/>
      <c r="D5" s="54"/>
      <c r="E5" s="54"/>
      <c r="F5" s="54"/>
      <c r="G5" s="54"/>
    </row>
    <row r="6" spans="1:7">
      <c r="A6" s="179" t="s">
        <v>123</v>
      </c>
      <c r="B6" s="180"/>
      <c r="C6" s="180"/>
      <c r="D6" s="180"/>
      <c r="E6" s="180"/>
      <c r="F6" s="180"/>
      <c r="G6" s="54"/>
    </row>
    <row r="7" spans="1:7">
      <c r="A7" s="181" t="s">
        <v>124</v>
      </c>
      <c r="B7" s="182"/>
      <c r="C7" s="182"/>
      <c r="D7" s="182"/>
      <c r="E7" s="182"/>
      <c r="F7" s="182"/>
      <c r="G7" s="132"/>
    </row>
    <row r="8" spans="1:7">
      <c r="A8" s="55"/>
      <c r="B8" s="55"/>
      <c r="C8" s="55"/>
      <c r="D8" s="55"/>
      <c r="E8" s="181" t="s">
        <v>183</v>
      </c>
      <c r="F8" s="182"/>
      <c r="G8" s="132"/>
    </row>
    <row r="9" spans="1:7" ht="16.2" thickBot="1">
      <c r="A9" s="55"/>
      <c r="B9" s="55"/>
      <c r="C9" s="55"/>
      <c r="D9" s="55"/>
      <c r="E9" s="172">
        <v>1.2500000000000001E-2</v>
      </c>
      <c r="F9" s="172">
        <v>-1.2500000000000001E-2</v>
      </c>
      <c r="G9" s="132"/>
    </row>
    <row r="10" spans="1:7" ht="16.5" customHeight="1" thickBot="1">
      <c r="A10" s="183" t="s">
        <v>125</v>
      </c>
      <c r="B10" s="184"/>
      <c r="C10" s="184"/>
      <c r="D10" s="184"/>
      <c r="E10" s="184"/>
      <c r="F10" s="185"/>
      <c r="G10" s="54"/>
    </row>
    <row r="11" spans="1:7">
      <c r="A11" s="56"/>
      <c r="B11" s="71"/>
      <c r="C11" s="83"/>
      <c r="D11" s="186" t="s">
        <v>127</v>
      </c>
      <c r="E11" s="186" t="s">
        <v>128</v>
      </c>
      <c r="F11" s="188" t="s">
        <v>129</v>
      </c>
      <c r="G11" s="54"/>
    </row>
    <row r="12" spans="1:7">
      <c r="A12" s="57"/>
      <c r="B12" s="71"/>
      <c r="C12" s="84" t="s">
        <v>126</v>
      </c>
      <c r="D12" s="187"/>
      <c r="E12" s="187"/>
      <c r="F12" s="189"/>
      <c r="G12" s="54"/>
    </row>
    <row r="13" spans="1:7" ht="31.5" customHeight="1">
      <c r="A13" s="57"/>
      <c r="B13" s="71"/>
      <c r="C13" s="85"/>
      <c r="D13" s="187"/>
      <c r="E13" s="187"/>
      <c r="F13" s="189"/>
      <c r="G13" s="54"/>
    </row>
    <row r="14" spans="1:7">
      <c r="A14" s="57"/>
      <c r="B14" s="71"/>
      <c r="C14" s="85"/>
      <c r="D14" s="99"/>
      <c r="E14" s="109"/>
      <c r="F14" s="118"/>
      <c r="G14" s="54"/>
    </row>
    <row r="15" spans="1:7">
      <c r="A15" s="58" t="s">
        <v>22</v>
      </c>
      <c r="B15" s="72"/>
      <c r="C15" s="86" t="s">
        <v>15</v>
      </c>
      <c r="D15" s="138" t="s">
        <v>16</v>
      </c>
      <c r="E15" s="110" t="s">
        <v>18</v>
      </c>
      <c r="F15" s="119" t="s">
        <v>19</v>
      </c>
      <c r="G15" s="54"/>
    </row>
    <row r="16" spans="1:7">
      <c r="A16" s="59" t="s">
        <v>112</v>
      </c>
      <c r="B16" s="73"/>
      <c r="C16" s="87"/>
      <c r="D16" s="100"/>
      <c r="E16" s="111"/>
      <c r="F16" s="120"/>
      <c r="G16" s="129"/>
    </row>
    <row r="17" spans="1:7">
      <c r="A17" s="60" t="s">
        <v>113</v>
      </c>
      <c r="B17" s="74" t="s">
        <v>23</v>
      </c>
      <c r="C17" s="88"/>
      <c r="D17" s="139"/>
      <c r="E17" s="140">
        <v>0</v>
      </c>
      <c r="F17" s="121">
        <v>0</v>
      </c>
      <c r="G17" s="129"/>
    </row>
    <row r="18" spans="1:7" ht="15.6">
      <c r="A18" s="60" t="s">
        <v>114</v>
      </c>
      <c r="B18" s="75" t="s">
        <v>24</v>
      </c>
      <c r="C18" s="26">
        <f>SUM(Actif!C10:E10)</f>
        <v>4415</v>
      </c>
      <c r="D18" s="27">
        <f>Actif!C76</f>
        <v>1.5249582909851087</v>
      </c>
      <c r="E18" s="26">
        <f>ROUND(C18*D18*E$9,0)</f>
        <v>84</v>
      </c>
      <c r="F18" s="26">
        <f>ROUND(C18*D18*F9,0)</f>
        <v>-84</v>
      </c>
      <c r="G18" s="129"/>
    </row>
    <row r="19" spans="1:7">
      <c r="A19" s="60" t="s">
        <v>184</v>
      </c>
      <c r="B19" s="75" t="s">
        <v>25</v>
      </c>
      <c r="C19" s="89"/>
      <c r="D19" s="101"/>
      <c r="E19" s="140">
        <v>0</v>
      </c>
      <c r="F19" s="121">
        <v>0</v>
      </c>
      <c r="G19" s="129"/>
    </row>
    <row r="20" spans="1:7">
      <c r="A20" s="60" t="s">
        <v>115</v>
      </c>
      <c r="B20" s="75" t="s">
        <v>26</v>
      </c>
      <c r="C20" s="89"/>
      <c r="D20" s="101"/>
      <c r="E20" s="140">
        <v>0</v>
      </c>
      <c r="F20" s="121">
        <v>0</v>
      </c>
      <c r="G20" s="129"/>
    </row>
    <row r="21" spans="1:7">
      <c r="A21" s="60" t="s">
        <v>185</v>
      </c>
      <c r="B21" s="75" t="s">
        <v>27</v>
      </c>
      <c r="C21" s="89"/>
      <c r="D21" s="101"/>
      <c r="E21" s="140">
        <v>0</v>
      </c>
      <c r="F21" s="121">
        <v>0</v>
      </c>
      <c r="G21" s="129"/>
    </row>
    <row r="22" spans="1:7">
      <c r="A22" s="60" t="s">
        <v>186</v>
      </c>
      <c r="B22" s="75" t="s">
        <v>28</v>
      </c>
      <c r="C22" s="89"/>
      <c r="D22" s="101"/>
      <c r="E22" s="140">
        <v>0</v>
      </c>
      <c r="F22" s="121">
        <v>0</v>
      </c>
      <c r="G22" s="129"/>
    </row>
    <row r="23" spans="1:7">
      <c r="A23" s="60" t="s">
        <v>116</v>
      </c>
      <c r="B23" s="75" t="s">
        <v>29</v>
      </c>
      <c r="C23" s="89"/>
      <c r="D23" s="101"/>
      <c r="E23" s="140">
        <v>0</v>
      </c>
      <c r="F23" s="121">
        <v>0</v>
      </c>
      <c r="G23" s="129"/>
    </row>
    <row r="24" spans="1:7" ht="15.6" thickBot="1">
      <c r="A24" s="61" t="s">
        <v>117</v>
      </c>
      <c r="B24" s="76" t="s">
        <v>30</v>
      </c>
      <c r="C24" s="90"/>
      <c r="D24" s="101"/>
      <c r="E24" s="140">
        <v>0</v>
      </c>
      <c r="F24" s="121">
        <v>0</v>
      </c>
      <c r="G24" s="129"/>
    </row>
    <row r="25" spans="1:7" ht="15.6" thickBot="1">
      <c r="A25" s="151" t="s">
        <v>118</v>
      </c>
      <c r="B25" s="77" t="s">
        <v>31</v>
      </c>
      <c r="C25" s="91">
        <f>SUM(C18:C24)</f>
        <v>4415</v>
      </c>
      <c r="D25" s="102"/>
      <c r="E25" s="112">
        <f>SUM(E17:E24)</f>
        <v>84</v>
      </c>
      <c r="F25" s="122">
        <f>SUM(F17:F24)</f>
        <v>-84</v>
      </c>
      <c r="G25" s="54"/>
    </row>
    <row r="26" spans="1:7">
      <c r="A26" s="59" t="s">
        <v>119</v>
      </c>
      <c r="B26" s="78"/>
      <c r="C26" s="87"/>
      <c r="D26" s="100"/>
      <c r="E26" s="111"/>
      <c r="F26" s="120"/>
      <c r="G26" s="54"/>
    </row>
    <row r="27" spans="1:7" ht="15.75" customHeight="1">
      <c r="A27" s="60" t="s">
        <v>120</v>
      </c>
      <c r="B27" s="74" t="s">
        <v>32</v>
      </c>
      <c r="C27" s="28">
        <f>'Pas. sin. &amp; prim. par branche '!E95</f>
        <v>938.49128997550531</v>
      </c>
      <c r="D27" s="29">
        <f>'Pas. sin. &amp; prim. par branche '!F95</f>
        <v>1.6070355070977997</v>
      </c>
      <c r="E27" s="28">
        <f>ROUND(C27*D27*E$9,0)</f>
        <v>19</v>
      </c>
      <c r="F27" s="28">
        <f>ROUND(C27*D27*F9,0)</f>
        <v>-19</v>
      </c>
    </row>
    <row r="28" spans="1:7" ht="15.6">
      <c r="A28" s="60" t="s">
        <v>121</v>
      </c>
      <c r="B28" s="75" t="s">
        <v>33</v>
      </c>
      <c r="C28" s="30">
        <f>'Pas. sin. &amp; prim. par branche '!E196</f>
        <v>745.41205474989829</v>
      </c>
      <c r="D28" s="31">
        <f>'Pas. sin. &amp; prim. par branche '!F196</f>
        <v>0.97852617036225664</v>
      </c>
      <c r="E28" s="30">
        <f>ROUND(C28*D28*E$9,0)</f>
        <v>9</v>
      </c>
      <c r="F28" s="30">
        <f>ROUND(C28*D28*F9,0)</f>
        <v>-9</v>
      </c>
    </row>
    <row r="29" spans="1:7" ht="15.6" thickBot="1">
      <c r="A29" s="60" t="s">
        <v>122</v>
      </c>
      <c r="B29" s="76" t="s">
        <v>34</v>
      </c>
      <c r="C29" s="90"/>
      <c r="D29" s="133"/>
      <c r="E29" s="140">
        <v>0</v>
      </c>
      <c r="F29" s="121">
        <v>0</v>
      </c>
      <c r="G29" s="54"/>
    </row>
    <row r="30" spans="1:7" ht="15.6" thickBot="1">
      <c r="A30" s="151" t="s">
        <v>139</v>
      </c>
      <c r="B30" s="77" t="s">
        <v>35</v>
      </c>
      <c r="C30" s="91">
        <f>C27+C28</f>
        <v>1683.9033447254037</v>
      </c>
      <c r="D30" s="103"/>
      <c r="E30" s="112">
        <f>E27+E28+E29</f>
        <v>28</v>
      </c>
      <c r="F30" s="112">
        <f>F27+F28+F29</f>
        <v>-28</v>
      </c>
      <c r="G30" s="54"/>
    </row>
    <row r="31" spans="1:7" ht="49.5" customHeight="1">
      <c r="A31" s="63"/>
      <c r="B31" s="79"/>
      <c r="C31" s="92" t="s">
        <v>133</v>
      </c>
      <c r="D31" s="134"/>
      <c r="E31" s="135" t="s">
        <v>192</v>
      </c>
      <c r="F31" s="123" t="s">
        <v>192</v>
      </c>
      <c r="G31" s="54"/>
    </row>
    <row r="32" spans="1:7">
      <c r="A32" s="59" t="s">
        <v>187</v>
      </c>
      <c r="B32" s="79"/>
      <c r="C32" s="93" t="s">
        <v>36</v>
      </c>
      <c r="D32" s="141"/>
      <c r="E32" s="113" t="s">
        <v>37</v>
      </c>
      <c r="F32" s="124" t="s">
        <v>38</v>
      </c>
      <c r="G32" s="54"/>
    </row>
    <row r="33" spans="1:7" ht="15.75" customHeight="1">
      <c r="A33" s="60" t="s">
        <v>130</v>
      </c>
      <c r="B33" s="74" t="s">
        <v>39</v>
      </c>
      <c r="C33" s="89"/>
      <c r="D33" s="104"/>
      <c r="E33" s="114"/>
      <c r="F33" s="125"/>
      <c r="G33" s="129"/>
    </row>
    <row r="34" spans="1:7" ht="15.6" thickBot="1">
      <c r="A34" s="60" t="s">
        <v>131</v>
      </c>
      <c r="B34" s="76" t="s">
        <v>40</v>
      </c>
      <c r="C34" s="94"/>
      <c r="D34" s="105"/>
      <c r="E34" s="115"/>
      <c r="F34" s="125"/>
      <c r="G34" s="129"/>
    </row>
    <row r="35" spans="1:7" ht="15.6" thickBot="1">
      <c r="A35" s="62" t="s">
        <v>188</v>
      </c>
      <c r="B35" s="77" t="s">
        <v>41</v>
      </c>
      <c r="C35" s="95"/>
      <c r="D35" s="106"/>
      <c r="E35" s="112">
        <v>0</v>
      </c>
      <c r="F35" s="122">
        <v>0</v>
      </c>
      <c r="G35" s="54"/>
    </row>
    <row r="36" spans="1:7">
      <c r="A36" s="64" t="s">
        <v>189</v>
      </c>
      <c r="B36" s="75" t="s">
        <v>42</v>
      </c>
      <c r="C36" s="96"/>
      <c r="D36" s="107"/>
      <c r="E36" s="116">
        <f>E25-E30</f>
        <v>56</v>
      </c>
      <c r="F36" s="126"/>
      <c r="G36" s="54"/>
    </row>
    <row r="37" spans="1:7" ht="15.6" thickBot="1">
      <c r="A37" s="64" t="s">
        <v>190</v>
      </c>
      <c r="B37" s="76" t="s">
        <v>43</v>
      </c>
      <c r="C37" s="97"/>
      <c r="D37" s="136"/>
      <c r="E37" s="137"/>
      <c r="F37" s="127">
        <f>MAX(0,F25-F30)</f>
        <v>0</v>
      </c>
      <c r="G37" s="54"/>
    </row>
    <row r="38" spans="1:7" ht="15.6" thickBot="1">
      <c r="A38" s="65" t="s">
        <v>191</v>
      </c>
      <c r="B38" s="77" t="s">
        <v>44</v>
      </c>
      <c r="C38" s="98"/>
      <c r="D38" s="108"/>
      <c r="E38" s="117"/>
      <c r="F38" s="128">
        <f>E36</f>
        <v>56</v>
      </c>
      <c r="G38" s="54"/>
    </row>
    <row r="39" spans="1:7">
      <c r="A39" s="54"/>
      <c r="B39" s="70"/>
      <c r="C39" s="70"/>
      <c r="D39" s="70"/>
      <c r="E39" s="70"/>
      <c r="F39" s="70"/>
      <c r="G39" s="54"/>
    </row>
    <row r="40" spans="1:7" ht="15.6">
      <c r="A40" s="66" t="s">
        <v>132</v>
      </c>
      <c r="B40" s="71"/>
      <c r="C40" s="54"/>
      <c r="D40" s="54"/>
      <c r="E40" s="178"/>
      <c r="F40" s="178"/>
      <c r="G40" s="178"/>
    </row>
    <row r="41" spans="1:7">
      <c r="A41" s="54"/>
      <c r="B41" s="70"/>
      <c r="C41" s="54"/>
      <c r="D41" s="54"/>
      <c r="E41" s="54"/>
      <c r="F41" s="130"/>
      <c r="G41" s="54"/>
    </row>
    <row r="42" spans="1:7" ht="16.2">
      <c r="A42" s="67"/>
      <c r="B42" s="80"/>
      <c r="C42" s="67"/>
      <c r="D42" s="67"/>
      <c r="E42" s="67"/>
      <c r="F42" s="67"/>
      <c r="G42" s="67"/>
    </row>
    <row r="43" spans="1:7" ht="16.2">
      <c r="A43" s="67"/>
      <c r="B43" s="80"/>
      <c r="C43" s="67"/>
      <c r="D43" s="67"/>
      <c r="E43" s="67"/>
      <c r="F43" s="67"/>
      <c r="G43" s="67"/>
    </row>
    <row r="44" spans="1:7" ht="16.2">
      <c r="A44" s="67"/>
      <c r="B44" s="80"/>
      <c r="C44" s="67"/>
      <c r="D44" s="67"/>
      <c r="E44" s="67"/>
      <c r="F44" s="67"/>
      <c r="G44" s="67"/>
    </row>
    <row r="45" spans="1:7" ht="16.2">
      <c r="A45" s="67"/>
      <c r="B45" s="80"/>
      <c r="C45" s="67"/>
      <c r="D45" s="67"/>
      <c r="E45" s="67"/>
      <c r="F45" s="67"/>
      <c r="G45" s="67"/>
    </row>
    <row r="46" spans="1:7" ht="16.2">
      <c r="A46" s="67"/>
      <c r="B46" s="80"/>
      <c r="C46" s="67"/>
      <c r="D46" s="67"/>
      <c r="E46" s="67"/>
      <c r="F46" s="67"/>
      <c r="G46" s="67"/>
    </row>
    <row r="47" spans="1:7" ht="16.2">
      <c r="A47" s="67"/>
      <c r="B47" s="80"/>
      <c r="C47" s="67"/>
      <c r="D47" s="67"/>
      <c r="E47" s="67"/>
      <c r="F47" s="67"/>
      <c r="G47" s="67"/>
    </row>
  </sheetData>
  <mergeCells count="10">
    <mergeCell ref="A3:F3"/>
    <mergeCell ref="A4:F4"/>
    <mergeCell ref="E40:G40"/>
    <mergeCell ref="A6:F6"/>
    <mergeCell ref="A7:F7"/>
    <mergeCell ref="E8:F8"/>
    <mergeCell ref="A10:F10"/>
    <mergeCell ref="D11:D13"/>
    <mergeCell ref="E11:E13"/>
    <mergeCell ref="F11:F13"/>
  </mergeCells>
  <printOptions horizontalCentered="1"/>
  <pageMargins left="0.70866141732283472" right="0.70866141732283472" top="0.74803149606299213" bottom="0.74803149606299213" header="0.31496062992125984" footer="0.31496062992125984"/>
  <pageSetup scale="71" orientation="portrait" horizontalDpi="4294967295" verticalDpi="4294967295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Actif</vt:lpstr>
      <vt:lpstr>Pas. sin. &amp; prim. par branche </vt:lpstr>
      <vt:lpstr>Risque taux intérêt</vt:lpstr>
      <vt:lpstr>'Risque taux intérêt'!Print_Area</vt:lpstr>
      <vt:lpstr>'Pas. sin. &amp; prim. par branche '!Print_Titles</vt:lpstr>
    </vt:vector>
  </TitlesOfParts>
  <Company>PricewaterhouseCoopers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Yeung</dc:creator>
  <cp:lastModifiedBy>Josée Racette</cp:lastModifiedBy>
  <cp:lastPrinted>2015-09-24T17:46:53Z</cp:lastPrinted>
  <dcterms:created xsi:type="dcterms:W3CDTF">2012-07-16T16:24:05Z</dcterms:created>
  <dcterms:modified xsi:type="dcterms:W3CDTF">2023-07-04T18:52:34Z</dcterms:modified>
</cp:coreProperties>
</file>