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4385" yWindow="-15" windowWidth="14430" windowHeight="12705" tabRatio="659"/>
  </bookViews>
  <sheets>
    <sheet name="Scenario Description" sheetId="86" r:id="rId1"/>
    <sheet name="Note" sheetId="92" r:id="rId2"/>
    <sheet name="Input - Entrée de données" sheetId="91" r:id="rId3"/>
    <sheet name="Derivation" sheetId="88" r:id="rId4"/>
    <sheet name="Chart - Graphique" sheetId="90" r:id="rId5"/>
    <sheet name="Output - Résultats" sheetId="84" r:id="rId6"/>
    <sheet name="Équivalences" sheetId="94" r:id="rId7"/>
    <sheet name="Sheet1" sheetId="95" r:id="rId8"/>
  </sheets>
  <externalReferences>
    <externalReference r:id="rId9"/>
    <externalReference r:id="rId10"/>
  </externalReferences>
  <definedNames>
    <definedName name="\Z" localSheetId="4">#REF!</definedName>
    <definedName name="\Z">#REF!</definedName>
    <definedName name="\Za" localSheetId="4">#REF!</definedName>
    <definedName name="\Za">#REF!</definedName>
    <definedName name="__123Graph_BCHART91a" localSheetId="4" hidden="1">[1]Input!#REF!</definedName>
    <definedName name="__123Graph_BCHART91a" hidden="1">[1]Input!#REF!</definedName>
    <definedName name="_1__123Graph_ACHART_1" localSheetId="5" hidden="1">'Output - Résultats'!#REF!</definedName>
    <definedName name="_10__123Graph_ACHART_5" localSheetId="5" hidden="1">'Output - Résultats'!$A$17:$A$17</definedName>
    <definedName name="_11__123Graph_ACHART_6" localSheetId="5" hidden="1">'Output - Résultats'!#REF!</definedName>
    <definedName name="_12__123Graph_ACHART_7" localSheetId="5" hidden="1">'Output - Résultats'!#REF!</definedName>
    <definedName name="_13__123Graph_ACHART_70" localSheetId="5" hidden="1">'Output - Résultats'!#REF!</definedName>
    <definedName name="_14__123Graph_ACHART_71" localSheetId="5" hidden="1">'Output - Résultats'!#REF!</definedName>
    <definedName name="_15__123Graph_ACHART_72" localSheetId="5" hidden="1">'Output - Résultats'!#REF!</definedName>
    <definedName name="_16__123Graph_ACHART_73" localSheetId="5" hidden="1">'Output - Résultats'!#REF!</definedName>
    <definedName name="_17__123Graph_ACHART_74" localSheetId="5" hidden="1">'Output - Résultats'!#REF!</definedName>
    <definedName name="_18__123Graph_ACHART_75" localSheetId="5" hidden="1">'Output - Résultats'!#REF!</definedName>
    <definedName name="_19__123Graph_ACHART_76" localSheetId="5" hidden="1">'Output - Résultats'!#REF!</definedName>
    <definedName name="_2__123Graph_ACHART_10" localSheetId="5" hidden="1">'Output - Résultats'!#REF!</definedName>
    <definedName name="_20__123Graph_ACHART_77" localSheetId="5" hidden="1">'Output - Résultats'!#REF!</definedName>
    <definedName name="_21__123Graph_ACHART_92" localSheetId="5" hidden="1">'Output - Résultats'!#REF!</definedName>
    <definedName name="_22__123Graph_BCHART_92" localSheetId="5" hidden="1">'Output - Résultats'!#REF!</definedName>
    <definedName name="_23__123Graph_CCHART_92" localSheetId="5" hidden="1">'Output - Résultats'!#REF!</definedName>
    <definedName name="_24__123Graph_DCHART_92" localSheetId="5" hidden="1">'Output - Résultats'!#REF!</definedName>
    <definedName name="_25__123Graph_ECHART_92" localSheetId="5" hidden="1">'Output - Résultats'!#REF!</definedName>
    <definedName name="_26__123Graph_XCHART_6" localSheetId="5" hidden="1">'Output - Résultats'!$A$16:$A$16</definedName>
    <definedName name="_27__123Graph_XCHART_7" localSheetId="5" hidden="1">'Output - Résultats'!$A$16:$A$16</definedName>
    <definedName name="_28__123Graph_XCHART_71" localSheetId="5" hidden="1">'Output - Résultats'!#REF!</definedName>
    <definedName name="_29__123Graph_XCHART_72" localSheetId="5" hidden="1">'Output - Résultats'!#REF!</definedName>
    <definedName name="_3__123Graph_ACHART_2" localSheetId="5" hidden="1">'Output - Résultats'!#REF!</definedName>
    <definedName name="_30__123Graph_XCHART_73" localSheetId="5" hidden="1">'Output - Résultats'!#REF!</definedName>
    <definedName name="_4__123Graph_ACHART_3" localSheetId="5" hidden="1">'Output - Résultats'!#REF!</definedName>
    <definedName name="_5__123Graph_ACHART_4" localSheetId="5" hidden="1">'Output - Résultats'!#REF!</definedName>
    <definedName name="_6__123Graph_ACHART_46" localSheetId="5" hidden="1">'Output - Résultats'!#REF!</definedName>
    <definedName name="_7__123Graph_ACHART_47" localSheetId="5" hidden="1">'Output - Résultats'!#REF!</definedName>
    <definedName name="_8__123Graph_ACHART_48" localSheetId="5" hidden="1">'Output - Résultats'!#REF!</definedName>
    <definedName name="_9__123Graph_ACHART_49" localSheetId="5" hidden="1">'Output - Résultats'!#REF!</definedName>
    <definedName name="_Fill" localSheetId="4" hidden="1">#REF!</definedName>
    <definedName name="_Fill" hidden="1">#REF!</definedName>
    <definedName name="_xlnm._FilterDatabase" localSheetId="6" hidden="1">Équivalences!$A$1:$D$220</definedName>
    <definedName name="_IV100000">#REF!</definedName>
    <definedName name="_max8">#REF!</definedName>
    <definedName name="_min8">#REF!</definedName>
    <definedName name="_V122544" localSheetId="5">'Output - Résultats'!#REF!</definedName>
    <definedName name="_V122544">#REF!</definedName>
    <definedName name="Base">#REF!</definedName>
    <definedName name="CLIFR">#REF!</definedName>
    <definedName name="cycle">#REF!</definedName>
    <definedName name="cycle3">#REF!</definedName>
    <definedName name="Cycle5">#REF!</definedName>
    <definedName name="CycleTable">#REF!</definedName>
    <definedName name="DATE" localSheetId="4">#REF!</definedName>
    <definedName name="DATE">#REF!</definedName>
    <definedName name="DELETE_RANGE">#REF!</definedName>
    <definedName name="ERR" localSheetId="4">#REF!</definedName>
    <definedName name="ERR">#REF!</definedName>
    <definedName name="EXTRA_TESTS">#REF!</definedName>
    <definedName name="GETDATA" localSheetId="4">#REF!</definedName>
    <definedName name="GETDATA">#REF!</definedName>
    <definedName name="GOV10YBO">#REF!</definedName>
    <definedName name="GOV15YBO">#REF!</definedName>
    <definedName name="GOV1YBO" localSheetId="4">#REF!</definedName>
    <definedName name="GOV1YBO">#REF!</definedName>
    <definedName name="GOV20YBO">#REF!</definedName>
    <definedName name="GOV2YBO" localSheetId="4">#REF!</definedName>
    <definedName name="GOV2YBO">#REF!</definedName>
    <definedName name="GOV3YBO">#REF!</definedName>
    <definedName name="GOV4YBO">#REF!</definedName>
    <definedName name="GOV5YBO">#REF!</definedName>
    <definedName name="GOV7YBO">#REF!</definedName>
    <definedName name="INPUT1">#REF!</definedName>
    <definedName name="INPUT1_CODE">#REF!</definedName>
    <definedName name="INPUT1_ID">#REF!</definedName>
    <definedName name="INPUT1_PASSWORD">#REF!</definedName>
    <definedName name="INPUT1_VALN_DAT">#REF!</definedName>
    <definedName name="INTQ" localSheetId="4">#REF!</definedName>
    <definedName name="INTQ">#REF!</definedName>
    <definedName name="INTR" localSheetId="4">#REF!</definedName>
    <definedName name="INTR">#REF!</definedName>
    <definedName name="INVERTED_TEST15">#REF!</definedName>
    <definedName name="INVERTED_TEST16">#REF!</definedName>
    <definedName name="langue">IF('Input - Entrée de données'!$I$1="Anglais / English",1,2)</definedName>
    <definedName name="LongMax">#REF!</definedName>
    <definedName name="LongMaxAdj">#REF!</definedName>
    <definedName name="LongMaxAdjRate">#REF!</definedName>
    <definedName name="LongMaxMA">#REF!</definedName>
    <definedName name="LongMaxRange">#REF!</definedName>
    <definedName name="LongMin">#REF!</definedName>
    <definedName name="LongMinAdj">#REF!</definedName>
    <definedName name="LongMinAdjRate">#REF!</definedName>
    <definedName name="LongMinMA">#REF!</definedName>
    <definedName name="LongMinRange">#REF!</definedName>
    <definedName name="LongTermWeight">#REF!</definedName>
    <definedName name="LT_High">[2]Base!$M$5</definedName>
    <definedName name="LT_Low">[2]Base!$K$5</definedName>
    <definedName name="LT_Med">Derivation!$J$52</definedName>
    <definedName name="LT_Med_input">'Input - Entrée de données'!$D$21</definedName>
    <definedName name="MAXIMUM_RATE">#REF!</definedName>
    <definedName name="MaxRate">#REF!</definedName>
    <definedName name="MINIMUM_RATE">#REF!</definedName>
    <definedName name="MinRate">#REF!</definedName>
    <definedName name="P_S_RESULT" localSheetId="4">#REF!</definedName>
    <definedName name="P_S_RESULT">#REF!</definedName>
    <definedName name="PRESCRIB_TEST17">#REF!</definedName>
    <definedName name="PRESCRIB_TEST18">#REF!</definedName>
    <definedName name="PRESCRIB_TEST19">#REF!</definedName>
    <definedName name="PRESCRIB_TEST20">#REF!</definedName>
    <definedName name="_xlnm.Print_Area" localSheetId="4">'Chart - Graphique'!$A$1:$P$61</definedName>
    <definedName name="_xlnm.Print_Area" localSheetId="3">Derivation!$A$1:$BI$57</definedName>
    <definedName name="_xlnm.Print_Area" localSheetId="5">'Output - Résultats'!$A$1:$W$79</definedName>
    <definedName name="_xlnm.Print_Area" localSheetId="0">'Scenario Description'!$A$1:$M$9</definedName>
    <definedName name="PRINT_IND" localSheetId="4">#REF!</definedName>
    <definedName name="PRINT_IND">#REF!</definedName>
    <definedName name="PRINT_NOW" localSheetId="4">#REF!</definedName>
    <definedName name="PRINT_NOW">#REF!</definedName>
    <definedName name="PRINT_SELECTION" localSheetId="4">#REF!</definedName>
    <definedName name="PRINT_SELECTION">#REF!</definedName>
    <definedName name="_xlnm.Print_Titles" localSheetId="5">'Output - Résultats'!$3:$16</definedName>
    <definedName name="PrintRate">#REF!</definedName>
    <definedName name="PRNT_SPOT_RATES">#REF!</definedName>
    <definedName name="PRT_ALL_TESTS" localSheetId="4">#REF!</definedName>
    <definedName name="PRT_ALL_TESTS">#REF!</definedName>
    <definedName name="PRT_INDICATORS" localSheetId="4">#REF!</definedName>
    <definedName name="PRT_INDICATORS">#REF!</definedName>
    <definedName name="PRT_INVERTED" localSheetId="4">#REF!</definedName>
    <definedName name="PRT_INVERTED">#REF!</definedName>
    <definedName name="PRT_NOTHING" localSheetId="4">#REF!</definedName>
    <definedName name="PRT_NOTHING">#REF!</definedName>
    <definedName name="PRT_PRESCRIBED" localSheetId="4">#REF!</definedName>
    <definedName name="PRT_PRESCRIBED">#REF!</definedName>
    <definedName name="PRT_REGULAR" localSheetId="4">#REF!</definedName>
    <definedName name="PRT_REGULAR">#REF!</definedName>
    <definedName name="PRT_SELECT_ALL" localSheetId="4">#REF!</definedName>
    <definedName name="PRT_SELECT_ALL">#REF!</definedName>
    <definedName name="PRT_SELECTIONS" localSheetId="4">#REF!</definedName>
    <definedName name="PRT_SELECTIONS">#REF!</definedName>
    <definedName name="PRT_SPOT_RATES" localSheetId="4">#REF!</definedName>
    <definedName name="PRT_SPOT_RATES">#REF!</definedName>
    <definedName name="RateTable">#REF!</definedName>
    <definedName name="RegTable">#REF!</definedName>
    <definedName name="REGULAR_TEST1" localSheetId="5">'Output - Résultats'!$A$3:$A$24</definedName>
    <definedName name="REGULAR_TEST1">#REF!</definedName>
    <definedName name="REGULAR_TEST10">#REF!</definedName>
    <definedName name="REGULAR_TEST11">#REF!</definedName>
    <definedName name="REGULAR_TEST12">#REF!</definedName>
    <definedName name="REGULAR_TEST13">#REF!</definedName>
    <definedName name="REGULAR_TEST14">#REF!</definedName>
    <definedName name="REGULAR_TEST2">#REF!</definedName>
    <definedName name="REGULAR_TEST3">#REF!</definedName>
    <definedName name="REGULAR_TEST4">#REF!</definedName>
    <definedName name="REGULAR_TEST5">#REF!</definedName>
    <definedName name="REGULAR_TEST6">#REF!</definedName>
    <definedName name="REGULAR_TEST7">#REF!</definedName>
    <definedName name="REGULAR_TEST8">#REF!</definedName>
    <definedName name="REGULAR_TEST9">#REF!</definedName>
    <definedName name="ScenTable" localSheetId="3">Derivation!#REF!</definedName>
    <definedName name="ScenTable" localSheetId="0">'Scenario Description'!$B$7:$C$9</definedName>
    <definedName name="ScenTable">#REF!</definedName>
    <definedName name="SETDATE" localSheetId="4">#REF!</definedName>
    <definedName name="SETDATE">#REF!</definedName>
    <definedName name="ShortMax">#REF!</definedName>
    <definedName name="ShortMaxAdj">#REF!</definedName>
    <definedName name="ShortMaxAdjRate">#REF!</definedName>
    <definedName name="ShortMaxMA">#REF!</definedName>
    <definedName name="ShortMaxRange">#REF!</definedName>
    <definedName name="ShortMin">#REF!</definedName>
    <definedName name="ShortMinAdj">#REF!</definedName>
    <definedName name="ShortMinAdjRate">#REF!</definedName>
    <definedName name="ShortMinMA">#REF!</definedName>
    <definedName name="ShortMinRange">#REF!</definedName>
    <definedName name="ShortTermWeight">#REF!</definedName>
    <definedName name="solver_adj" localSheetId="3" hidden="1">Derivation!$O$40</definedName>
    <definedName name="solver_cvg" localSheetId="3" hidden="1">0.0001</definedName>
    <definedName name="solver_drv" localSheetId="3" hidden="1">1</definedName>
    <definedName name="solver_est" localSheetId="3" hidden="1">1</definedName>
    <definedName name="solver_itr" localSheetId="3" hidden="1">100</definedName>
    <definedName name="solver_lin" localSheetId="3" hidden="1">2</definedName>
    <definedName name="solver_neg" localSheetId="3" hidden="1">2</definedName>
    <definedName name="solver_num" localSheetId="3" hidden="1">0</definedName>
    <definedName name="solver_nwt" localSheetId="3" hidden="1">1</definedName>
    <definedName name="solver_opt" localSheetId="3" hidden="1">Derivation!$BK$40</definedName>
    <definedName name="solver_pre" localSheetId="3" hidden="1">0.0000000001</definedName>
    <definedName name="solver_scl" localSheetId="3" hidden="1">2</definedName>
    <definedName name="solver_sho" localSheetId="3" hidden="1">2</definedName>
    <definedName name="solver_tim" localSheetId="3" hidden="1">100</definedName>
    <definedName name="solver_tol" localSheetId="3" hidden="1">0.05</definedName>
    <definedName name="solver_typ" localSheetId="3" hidden="1">3</definedName>
    <definedName name="solver_val" localSheetId="3" hidden="1">0</definedName>
    <definedName name="ST_Med">'Input - Entrée de données'!#REF!</definedName>
    <definedName name="ST_Med_input">'Input - Entrée de données'!$D$20</definedName>
    <definedName name="Step">#REF!</definedName>
    <definedName name="StepTable">#REF!</definedName>
    <definedName name="TBILL1M" localSheetId="4">#REF!</definedName>
    <definedName name="TBILL1M">#REF!</definedName>
    <definedName name="TBILL2M" localSheetId="4">#REF!</definedName>
    <definedName name="TBILL2M">#REF!</definedName>
    <definedName name="TBILL3M" localSheetId="4">#REF!</definedName>
    <definedName name="TBILL3M">#REF!</definedName>
    <definedName name="TBILL6M" localSheetId="4">#REF!</definedName>
    <definedName name="TBILL6M">#REF!</definedName>
    <definedName name="TEST_10_INCR">#REF!</definedName>
    <definedName name="TEST_11_DECR">#REF!</definedName>
    <definedName name="TEST_17_INV_">#REF!</definedName>
    <definedName name="TEST_17_STEEP_">#REF!</definedName>
    <definedName name="TEST_3_CHGE">#REF!</definedName>
    <definedName name="TEST_4_INCR">#REF!</definedName>
    <definedName name="TEST_6_INCREASE">#REF!</definedName>
    <definedName name="TEST1" localSheetId="5">'Output - Résultats'!$A$17:$A$24</definedName>
    <definedName name="TEST1">#REF!</definedName>
    <definedName name="TEST10">#REF!</definedName>
    <definedName name="TEST11" localSheetId="5">'Output - Résultats'!#REF!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 localSheetId="5">'Output - Résultats'!#REF!</definedName>
    <definedName name="TEST17">#REF!</definedName>
    <definedName name="TEST18" localSheetId="5">'Output - Résultats'!#REF!</definedName>
    <definedName name="TEST18">#REF!</definedName>
    <definedName name="TEST19">#REF!</definedName>
    <definedName name="TEST2">#REF!</definedName>
    <definedName name="TEST20">#REF!</definedName>
    <definedName name="TEST21" localSheetId="5">'Output - Résultats'!#REF!</definedName>
    <definedName name="TEST21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ITLE1" localSheetId="5">'Output - Résultats'!$A$12</definedName>
    <definedName name="TITLE1">#REF!</definedName>
    <definedName name="TITLE10">#REF!</definedName>
    <definedName name="TITLE11">#REF!</definedName>
    <definedName name="TITLE16">#REF!</definedName>
    <definedName name="TITLE17">#REF!</definedName>
    <definedName name="TITLE18">#REF!</definedName>
    <definedName name="TITLE2">#REF!</definedName>
    <definedName name="TITLE21">#REF!</definedName>
    <definedName name="TITLE3">#REF!</definedName>
    <definedName name="TITLE4">#REF!</definedName>
    <definedName name="TITLE5">#REF!</definedName>
    <definedName name="TITLE6">#REF!</definedName>
    <definedName name="TITLE8">#REF!</definedName>
    <definedName name="TITLE9">#REF!</definedName>
    <definedName name="VALN_DATE" localSheetId="4">#REF!</definedName>
    <definedName name="VALN_DATE">#REF!</definedName>
    <definedName name="VALUATION_DATE">#REF!</definedName>
    <definedName name="Yield01">#REF!</definedName>
    <definedName name="Yield02">#REF!</definedName>
    <definedName name="Yield03">#REF!</definedName>
    <definedName name="Yield04">#REF!</definedName>
    <definedName name="Yield05">#REF!</definedName>
    <definedName name="Yield06">#REF!</definedName>
    <definedName name="Yield07" localSheetId="5">'Output - Résultats'!$A$3:$A$25</definedName>
    <definedName name="Yield07">#REF!</definedName>
    <definedName name="Yield08">#REF!</definedName>
    <definedName name="Yield09">#REF!</definedName>
    <definedName name="Yield10">#REF!</definedName>
    <definedName name="Yield11">#REF!</definedName>
    <definedName name="Yield12">#REF!</definedName>
    <definedName name="Yield13">#REF!</definedName>
    <definedName name="Yield14">#REF!</definedName>
    <definedName name="Yield15">#REF!</definedName>
    <definedName name="Yield16">#REF!</definedName>
    <definedName name="Yield17">#REF!</definedName>
    <definedName name="Yield18">#REF!</definedName>
    <definedName name="Yield19">#REF!</definedName>
    <definedName name="Yield20">#REF!</definedName>
    <definedName name="YieldCurve">#REF!</definedName>
  </definedNames>
  <calcPr calcId="145621"/>
</workbook>
</file>

<file path=xl/calcChain.xml><?xml version="1.0" encoding="utf-8"?>
<calcChain xmlns="http://schemas.openxmlformats.org/spreadsheetml/2006/main">
  <c r="C9" i="86" l="1"/>
  <c r="U61" i="88" l="1"/>
  <c r="C21" i="91" l="1"/>
  <c r="C20" i="91"/>
  <c r="B1" i="91"/>
  <c r="B4" i="91"/>
  <c r="B18" i="91"/>
  <c r="A1" i="84"/>
  <c r="AC4" i="84"/>
  <c r="AF16" i="84"/>
  <c r="AF15" i="84"/>
  <c r="AG16" i="84"/>
  <c r="AG15" i="84"/>
  <c r="AI16" i="84"/>
  <c r="AE16" i="84"/>
  <c r="AI15" i="84"/>
  <c r="AE15" i="84"/>
  <c r="C5" i="84"/>
  <c r="C4" i="84"/>
  <c r="C3" i="84"/>
  <c r="A13" i="84"/>
  <c r="A9" i="84"/>
  <c r="C15" i="84"/>
  <c r="A12" i="84"/>
  <c r="B6" i="90" l="1"/>
  <c r="B10" i="90" l="1"/>
  <c r="C5" i="90"/>
  <c r="C4" i="90"/>
  <c r="A1" i="90"/>
  <c r="V16" i="84"/>
  <c r="U16" i="84"/>
  <c r="T16" i="84"/>
  <c r="S16" i="84"/>
  <c r="R16" i="84"/>
  <c r="Q16" i="84"/>
  <c r="P16" i="84"/>
  <c r="O16" i="84"/>
  <c r="N16" i="84"/>
  <c r="M16" i="84"/>
  <c r="L16" i="84"/>
  <c r="K16" i="84"/>
  <c r="J16" i="84"/>
  <c r="I16" i="84"/>
  <c r="H16" i="84"/>
  <c r="G16" i="84"/>
  <c r="F16" i="84"/>
  <c r="E16" i="84"/>
  <c r="D16" i="84"/>
  <c r="C16" i="84"/>
  <c r="A16" i="84"/>
  <c r="A15" i="84"/>
  <c r="A10" i="84"/>
  <c r="V8" i="84"/>
  <c r="U8" i="84"/>
  <c r="T8" i="84"/>
  <c r="S8" i="84"/>
  <c r="R8" i="84"/>
  <c r="Q8" i="84"/>
  <c r="P8" i="84"/>
  <c r="O8" i="84"/>
  <c r="N8" i="84"/>
  <c r="M8" i="84"/>
  <c r="L8" i="84"/>
  <c r="K8" i="84"/>
  <c r="J8" i="84"/>
  <c r="I8" i="84"/>
  <c r="H8" i="84"/>
  <c r="G8" i="84"/>
  <c r="F8" i="84"/>
  <c r="E8" i="84"/>
  <c r="D8" i="84"/>
  <c r="C8" i="84"/>
  <c r="C2" i="84"/>
  <c r="B54" i="88"/>
  <c r="B53" i="88"/>
  <c r="B52" i="88"/>
  <c r="B50" i="88"/>
  <c r="B46" i="88"/>
  <c r="B44" i="88"/>
  <c r="B42" i="88"/>
  <c r="B41" i="88"/>
  <c r="B40" i="88"/>
  <c r="B38" i="88"/>
  <c r="B36" i="88"/>
  <c r="B34" i="88"/>
  <c r="B32" i="88"/>
  <c r="B27" i="88"/>
  <c r="B23" i="88"/>
  <c r="B21" i="88"/>
  <c r="B17" i="88"/>
  <c r="B15" i="88"/>
  <c r="B14" i="88"/>
  <c r="B9" i="88"/>
  <c r="CE8" i="88"/>
  <c r="CD8" i="88"/>
  <c r="CC8" i="88"/>
  <c r="CB8" i="88"/>
  <c r="CA8" i="88"/>
  <c r="BZ8" i="88"/>
  <c r="BY8" i="88"/>
  <c r="BX8" i="88"/>
  <c r="BW8" i="88"/>
  <c r="BV8" i="88"/>
  <c r="BU8" i="88"/>
  <c r="BT8" i="88"/>
  <c r="BS8" i="88"/>
  <c r="BR8" i="88"/>
  <c r="BQ8" i="88"/>
  <c r="BP8" i="88"/>
  <c r="BO8" i="88"/>
  <c r="BN8" i="88"/>
  <c r="BM8" i="88"/>
  <c r="BL8" i="88"/>
  <c r="BH8" i="88"/>
  <c r="BG8" i="88"/>
  <c r="BF8" i="88"/>
  <c r="BE8" i="88"/>
  <c r="BD8" i="88"/>
  <c r="BC8" i="88"/>
  <c r="BB8" i="88"/>
  <c r="BA8" i="88"/>
  <c r="AZ8" i="88"/>
  <c r="AY8" i="88"/>
  <c r="AX8" i="88"/>
  <c r="AW8" i="88"/>
  <c r="AV8" i="88"/>
  <c r="AU8" i="88"/>
  <c r="AT8" i="88"/>
  <c r="AS8" i="88"/>
  <c r="AR8" i="88"/>
  <c r="AQ8" i="88"/>
  <c r="AP8" i="88"/>
  <c r="AO8" i="88"/>
  <c r="AM8" i="88"/>
  <c r="AL8" i="88"/>
  <c r="AK8" i="88"/>
  <c r="AJ8" i="88"/>
  <c r="AI8" i="88"/>
  <c r="AH8" i="88"/>
  <c r="AG8" i="88"/>
  <c r="AF8" i="88"/>
  <c r="AE8" i="88"/>
  <c r="AD8" i="88"/>
  <c r="AC8" i="88"/>
  <c r="AB8" i="88"/>
  <c r="AA8" i="88"/>
  <c r="Z8" i="88"/>
  <c r="Y8" i="88"/>
  <c r="X8" i="88"/>
  <c r="W8" i="88"/>
  <c r="V8" i="88"/>
  <c r="U8" i="88"/>
  <c r="T8" i="88"/>
  <c r="R8" i="88"/>
  <c r="Q8" i="88"/>
  <c r="O8" i="88"/>
  <c r="N8" i="88"/>
  <c r="AO7" i="88"/>
  <c r="T7" i="88"/>
  <c r="B7" i="88"/>
  <c r="T6" i="88"/>
  <c r="O6" i="88"/>
  <c r="B6" i="88"/>
  <c r="BH4" i="88"/>
  <c r="N4" i="88"/>
  <c r="B4" i="88"/>
  <c r="B1" i="88"/>
  <c r="C41" i="91"/>
  <c r="C40" i="91"/>
  <c r="C39" i="91"/>
  <c r="C38" i="91"/>
  <c r="C37" i="91"/>
  <c r="C36" i="91"/>
  <c r="C35" i="91"/>
  <c r="C34" i="91"/>
  <c r="C33" i="91"/>
  <c r="C32" i="91"/>
  <c r="C31" i="91"/>
  <c r="C30" i="91"/>
  <c r="C29" i="91"/>
  <c r="C28" i="91"/>
  <c r="F27" i="91"/>
  <c r="C27" i="91"/>
  <c r="F26" i="91"/>
  <c r="C26" i="91"/>
  <c r="F25" i="91"/>
  <c r="C25" i="91"/>
  <c r="F24" i="91"/>
  <c r="C24" i="91"/>
  <c r="B24" i="91"/>
  <c r="F20" i="91"/>
  <c r="B20" i="91"/>
  <c r="C15" i="91"/>
  <c r="C14" i="91"/>
  <c r="C13" i="91"/>
  <c r="C12" i="91"/>
  <c r="C11" i="91"/>
  <c r="C10" i="91"/>
  <c r="C9" i="91"/>
  <c r="C8" i="91"/>
  <c r="C7" i="91"/>
  <c r="C6" i="91"/>
  <c r="B6" i="91"/>
  <c r="B5" i="92"/>
  <c r="A4" i="92"/>
  <c r="A1" i="92"/>
  <c r="H9" i="86"/>
  <c r="G9" i="86"/>
  <c r="F9" i="86"/>
  <c r="E9" i="86"/>
  <c r="D9" i="86"/>
  <c r="B9" i="86"/>
  <c r="F8" i="86"/>
  <c r="D8" i="86"/>
  <c r="C8" i="86"/>
  <c r="H7" i="86"/>
  <c r="C7" i="86"/>
  <c r="B7" i="86"/>
  <c r="B4" i="86"/>
  <c r="U10" i="84" l="1"/>
  <c r="T10" i="84"/>
  <c r="S10" i="84"/>
  <c r="R10" i="84"/>
  <c r="Q10" i="84"/>
  <c r="P10" i="84"/>
  <c r="O10" i="84"/>
  <c r="N10" i="84"/>
  <c r="M10" i="84"/>
  <c r="L10" i="84"/>
  <c r="K10" i="84"/>
  <c r="J10" i="84"/>
  <c r="I10" i="84"/>
  <c r="H10" i="84"/>
  <c r="G10" i="84"/>
  <c r="F10" i="84"/>
  <c r="E10" i="84"/>
  <c r="D10" i="84"/>
  <c r="U77" i="84" l="1"/>
  <c r="T77" i="84"/>
  <c r="S77" i="84"/>
  <c r="R77" i="84"/>
  <c r="Q77" i="84"/>
  <c r="P77" i="84"/>
  <c r="O77" i="84"/>
  <c r="N77" i="84"/>
  <c r="M77" i="84"/>
  <c r="L77" i="84"/>
  <c r="K77" i="84"/>
  <c r="J77" i="84"/>
  <c r="I77" i="84"/>
  <c r="H77" i="84"/>
  <c r="G77" i="84"/>
  <c r="F77" i="84"/>
  <c r="E77" i="84"/>
  <c r="D77" i="84"/>
  <c r="V10" i="84"/>
  <c r="V77" i="84" s="1"/>
  <c r="C10" i="84"/>
  <c r="C77" i="84" s="1"/>
  <c r="J52" i="88"/>
  <c r="O35" i="88" l="1"/>
  <c r="O40" i="88"/>
  <c r="O30" i="88"/>
  <c r="O20" i="88"/>
  <c r="O17" i="88"/>
  <c r="O15" i="88"/>
  <c r="O14" i="88"/>
  <c r="O13" i="88"/>
  <c r="O12" i="88"/>
  <c r="O11" i="88"/>
  <c r="O90" i="88" l="1"/>
  <c r="O75" i="88"/>
  <c r="O76" i="88"/>
  <c r="O77" i="88"/>
  <c r="O78" i="88"/>
  <c r="O79" i="88"/>
  <c r="O80" i="88"/>
  <c r="O81" i="88"/>
  <c r="O82" i="88"/>
  <c r="O83" i="88"/>
  <c r="O84" i="88"/>
  <c r="O85" i="88"/>
  <c r="O86" i="88"/>
  <c r="O87" i="88"/>
  <c r="O88" i="88"/>
  <c r="O89" i="88"/>
  <c r="AI17" i="84" l="1"/>
  <c r="AI18" i="84" s="1"/>
  <c r="AE17" i="84"/>
  <c r="AE18" i="84" s="1"/>
  <c r="AE19" i="84" s="1"/>
  <c r="AE20" i="84" s="1"/>
  <c r="AE21" i="84" s="1"/>
  <c r="AE22" i="84" s="1"/>
  <c r="AE23" i="84" s="1"/>
  <c r="AE24" i="84" s="1"/>
  <c r="AE25" i="84" s="1"/>
  <c r="AE26" i="84" s="1"/>
  <c r="AE27" i="84" s="1"/>
  <c r="AE28" i="84" s="1"/>
  <c r="AE29" i="84" s="1"/>
  <c r="AE30" i="84" s="1"/>
  <c r="AE31" i="84" s="1"/>
  <c r="AE32" i="84" s="1"/>
  <c r="AE33" i="84" s="1"/>
  <c r="AE34" i="84" s="1"/>
  <c r="AE35" i="84" s="1"/>
  <c r="AE36" i="84" s="1"/>
  <c r="AE37" i="84" s="1"/>
  <c r="AE38" i="84" s="1"/>
  <c r="AE39" i="84" s="1"/>
  <c r="AE40" i="84" s="1"/>
  <c r="AE41" i="84" s="1"/>
  <c r="AE42" i="84" s="1"/>
  <c r="AE43" i="84" s="1"/>
  <c r="AE44" i="84" s="1"/>
  <c r="AE45" i="84" s="1"/>
  <c r="AE46" i="84" s="1"/>
  <c r="AE47" i="84" s="1"/>
  <c r="AE48" i="84" s="1"/>
  <c r="AE49" i="84" s="1"/>
  <c r="AE50" i="84" s="1"/>
  <c r="AE51" i="84" s="1"/>
  <c r="AE52" i="84" s="1"/>
  <c r="AE53" i="84" s="1"/>
  <c r="AE54" i="84" s="1"/>
  <c r="AE55" i="84" s="1"/>
  <c r="AE56" i="84" s="1"/>
  <c r="AE57" i="84" s="1"/>
  <c r="AE58" i="84" s="1"/>
  <c r="AE59" i="84" s="1"/>
  <c r="AE60" i="84" s="1"/>
  <c r="AE61" i="84" s="1"/>
  <c r="AE62" i="84" s="1"/>
  <c r="AE63" i="84" s="1"/>
  <c r="AE64" i="84" s="1"/>
  <c r="AE65" i="84" s="1"/>
  <c r="AE66" i="84" s="1"/>
  <c r="O74" i="88"/>
  <c r="O73" i="88"/>
  <c r="O72" i="88"/>
  <c r="O71" i="88"/>
  <c r="O70" i="88"/>
  <c r="O69" i="88"/>
  <c r="O68" i="88"/>
  <c r="O67" i="88"/>
  <c r="O66" i="88"/>
  <c r="O65" i="88"/>
  <c r="O64" i="88"/>
  <c r="O63" i="88"/>
  <c r="O62" i="88"/>
  <c r="O61" i="88"/>
  <c r="O60" i="88"/>
  <c r="O59" i="88"/>
  <c r="O58" i="88"/>
  <c r="O57" i="88"/>
  <c r="O56" i="88"/>
  <c r="Q11" i="88"/>
  <c r="P12" i="88" s="1"/>
  <c r="O41" i="88"/>
  <c r="O42" i="88"/>
  <c r="O43" i="88"/>
  <c r="O44" i="88"/>
  <c r="O45" i="88"/>
  <c r="O46" i="88"/>
  <c r="O47" i="88"/>
  <c r="O48" i="88"/>
  <c r="O49" i="88"/>
  <c r="O50" i="88"/>
  <c r="O51" i="88"/>
  <c r="O52" i="88"/>
  <c r="O53" i="88"/>
  <c r="O54" i="88"/>
  <c r="O55" i="88"/>
  <c r="A18" i="84"/>
  <c r="N12" i="88"/>
  <c r="N13" i="88" s="1"/>
  <c r="N14" i="88" s="1"/>
  <c r="N15" i="88" s="1"/>
  <c r="N16" i="88" s="1"/>
  <c r="N17" i="88" s="1"/>
  <c r="A19" i="84" l="1"/>
  <c r="A20" i="84" s="1"/>
  <c r="Q12" i="88"/>
  <c r="R12" i="88" s="1"/>
  <c r="R11" i="88"/>
  <c r="T10" i="88" s="1"/>
  <c r="BL10" i="88" s="1"/>
  <c r="AO10" i="88" s="1"/>
  <c r="C9" i="84" s="1"/>
  <c r="C17" i="84" s="1"/>
  <c r="O16" i="88"/>
  <c r="N18" i="88"/>
  <c r="N19" i="88" s="1"/>
  <c r="N20" i="88" s="1"/>
  <c r="P13" i="88" l="1"/>
  <c r="Q13" i="88" s="1"/>
  <c r="R13" i="88" s="1"/>
  <c r="O19" i="88"/>
  <c r="O18" i="88"/>
  <c r="N21" i="88"/>
  <c r="N22" i="88" s="1"/>
  <c r="N23" i="88" s="1"/>
  <c r="N24" i="88" s="1"/>
  <c r="N25" i="88" s="1"/>
  <c r="N26" i="88" s="1"/>
  <c r="N27" i="88" s="1"/>
  <c r="N28" i="88" s="1"/>
  <c r="N29" i="88" s="1"/>
  <c r="N30" i="88" s="1"/>
  <c r="T11" i="88"/>
  <c r="BL11" i="88" s="1"/>
  <c r="AO11" i="88" s="1"/>
  <c r="C18" i="84" s="1"/>
  <c r="U10" i="88"/>
  <c r="BM10" i="88" s="1"/>
  <c r="AP10" i="88" s="1"/>
  <c r="D9" i="84" s="1"/>
  <c r="D17" i="84" s="1"/>
  <c r="A21" i="84"/>
  <c r="O25" i="88" l="1"/>
  <c r="O24" i="88"/>
  <c r="O27" i="88"/>
  <c r="O26" i="88"/>
  <c r="O29" i="88"/>
  <c r="O28" i="88"/>
  <c r="O22" i="88"/>
  <c r="O21" i="88"/>
  <c r="N31" i="88"/>
  <c r="N32" i="88" s="1"/>
  <c r="N33" i="88" s="1"/>
  <c r="N34" i="88" s="1"/>
  <c r="N35" i="88" s="1"/>
  <c r="O34" i="88" s="1"/>
  <c r="O23" i="88"/>
  <c r="P14" i="88"/>
  <c r="V10" i="88"/>
  <c r="BN10" i="88" s="1"/>
  <c r="AQ10" i="88" s="1"/>
  <c r="E9" i="84" s="1"/>
  <c r="E17" i="84" s="1"/>
  <c r="T12" i="88"/>
  <c r="BL12" i="88" s="1"/>
  <c r="AO12" i="88" s="1"/>
  <c r="C19" i="84" s="1"/>
  <c r="U11" i="88"/>
  <c r="BM11" i="88" s="1"/>
  <c r="AP11" i="88" s="1"/>
  <c r="D18" i="84" s="1"/>
  <c r="A22" i="84"/>
  <c r="O32" i="88" l="1"/>
  <c r="N36" i="88"/>
  <c r="N37" i="88" s="1"/>
  <c r="N38" i="88" s="1"/>
  <c r="N39" i="88" s="1"/>
  <c r="N40" i="88" s="1"/>
  <c r="O33" i="88"/>
  <c r="O31" i="88"/>
  <c r="Q14" i="88"/>
  <c r="R14" i="88" s="1"/>
  <c r="A23" i="84"/>
  <c r="P15" i="88" l="1"/>
  <c r="Q15" i="88" s="1"/>
  <c r="R15" i="88" s="1"/>
  <c r="O37" i="88"/>
  <c r="N41" i="88"/>
  <c r="N42" i="88" s="1"/>
  <c r="N43" i="88" s="1"/>
  <c r="N44" i="88" s="1"/>
  <c r="N45" i="88" s="1"/>
  <c r="N46" i="88" s="1"/>
  <c r="N47" i="88" s="1"/>
  <c r="N48" i="88" s="1"/>
  <c r="N49" i="88" s="1"/>
  <c r="N50" i="88" s="1"/>
  <c r="N51" i="88" s="1"/>
  <c r="N52" i="88" s="1"/>
  <c r="N53" i="88" s="1"/>
  <c r="N54" i="88" s="1"/>
  <c r="N55" i="88" s="1"/>
  <c r="N56" i="88" s="1"/>
  <c r="N57" i="88" s="1"/>
  <c r="N58" i="88" s="1"/>
  <c r="N59" i="88" s="1"/>
  <c r="O39" i="88"/>
  <c r="O38" i="88"/>
  <c r="O36" i="88"/>
  <c r="V11" i="88"/>
  <c r="BN11" i="88" s="1"/>
  <c r="AQ11" i="88" s="1"/>
  <c r="E18" i="84" s="1"/>
  <c r="W10" i="88"/>
  <c r="BO10" i="88" s="1"/>
  <c r="AR10" i="88" s="1"/>
  <c r="F9" i="84" s="1"/>
  <c r="F17" i="84" s="1"/>
  <c r="T13" i="88"/>
  <c r="BL13" i="88" s="1"/>
  <c r="AO13" i="88" s="1"/>
  <c r="C20" i="84" s="1"/>
  <c r="U12" i="88"/>
  <c r="BM12" i="88" s="1"/>
  <c r="AP12" i="88" s="1"/>
  <c r="D19" i="84" s="1"/>
  <c r="A24" i="84"/>
  <c r="N60" i="88" l="1"/>
  <c r="N61" i="88" s="1"/>
  <c r="N62" i="88" s="1"/>
  <c r="N63" i="88" s="1"/>
  <c r="N64" i="88" s="1"/>
  <c r="N65" i="88" s="1"/>
  <c r="N66" i="88" s="1"/>
  <c r="N67" i="88" s="1"/>
  <c r="N68" i="88" s="1"/>
  <c r="N69" i="88" s="1"/>
  <c r="N70" i="88" s="1"/>
  <c r="N71" i="88" s="1"/>
  <c r="N72" i="88" s="1"/>
  <c r="N73" i="88" s="1"/>
  <c r="N74" i="88" s="1"/>
  <c r="N75" i="88" s="1"/>
  <c r="N76" i="88" s="1"/>
  <c r="N77" i="88" s="1"/>
  <c r="N78" i="88" s="1"/>
  <c r="N79" i="88" s="1"/>
  <c r="N80" i="88" s="1"/>
  <c r="N81" i="88" s="1"/>
  <c r="N82" i="88" s="1"/>
  <c r="N83" i="88" s="1"/>
  <c r="N84" i="88" s="1"/>
  <c r="N85" i="88" s="1"/>
  <c r="N86" i="88" s="1"/>
  <c r="N87" i="88" s="1"/>
  <c r="N88" i="88" s="1"/>
  <c r="N89" i="88" s="1"/>
  <c r="N90" i="88" s="1"/>
  <c r="X10" i="88"/>
  <c r="BP10" i="88" s="1"/>
  <c r="AS10" i="88" s="1"/>
  <c r="G9" i="84" s="1"/>
  <c r="G17" i="84" s="1"/>
  <c r="T14" i="88"/>
  <c r="BL14" i="88" s="1"/>
  <c r="AO14" i="88" s="1"/>
  <c r="C21" i="84" s="1"/>
  <c r="U13" i="88"/>
  <c r="BM13" i="88" s="1"/>
  <c r="AP13" i="88" s="1"/>
  <c r="D20" i="84" s="1"/>
  <c r="V12" i="88"/>
  <c r="BN12" i="88" s="1"/>
  <c r="AQ12" i="88" s="1"/>
  <c r="E19" i="84" s="1"/>
  <c r="W11" i="88"/>
  <c r="BO11" i="88" s="1"/>
  <c r="AR11" i="88" s="1"/>
  <c r="F18" i="84" s="1"/>
  <c r="P16" i="88"/>
  <c r="A25" i="84"/>
  <c r="Q16" i="88" l="1"/>
  <c r="R16" i="88" s="1"/>
  <c r="A26" i="84"/>
  <c r="P17" i="88" l="1"/>
  <c r="Q17" i="88" s="1"/>
  <c r="R17" i="88" s="1"/>
  <c r="U14" i="88"/>
  <c r="BM14" i="88" s="1"/>
  <c r="AP14" i="88" s="1"/>
  <c r="D21" i="84" s="1"/>
  <c r="T15" i="88"/>
  <c r="BL15" i="88" s="1"/>
  <c r="AO15" i="88" s="1"/>
  <c r="C22" i="84" s="1"/>
  <c r="V13" i="88"/>
  <c r="BN13" i="88" s="1"/>
  <c r="AQ13" i="88" s="1"/>
  <c r="E20" i="84" s="1"/>
  <c r="W12" i="88"/>
  <c r="BO12" i="88" s="1"/>
  <c r="AR12" i="88" s="1"/>
  <c r="F19" i="84" s="1"/>
  <c r="X11" i="88"/>
  <c r="BP11" i="88" s="1"/>
  <c r="AS11" i="88" s="1"/>
  <c r="G18" i="84" s="1"/>
  <c r="Y10" i="88"/>
  <c r="BQ10" i="88" s="1"/>
  <c r="AT10" i="88" s="1"/>
  <c r="H9" i="84" s="1"/>
  <c r="H17" i="84" s="1"/>
  <c r="A27" i="84"/>
  <c r="P18" i="88" l="1"/>
  <c r="Q18" i="88" s="1"/>
  <c r="R18" i="88" s="1"/>
  <c r="W13" i="88"/>
  <c r="BO13" i="88" s="1"/>
  <c r="AR13" i="88" s="1"/>
  <c r="F20" i="84" s="1"/>
  <c r="V14" i="88"/>
  <c r="BN14" i="88" s="1"/>
  <c r="AQ14" i="88" s="1"/>
  <c r="E21" i="84" s="1"/>
  <c r="Z10" i="88"/>
  <c r="BR10" i="88" s="1"/>
  <c r="AU10" i="88" s="1"/>
  <c r="I9" i="84" s="1"/>
  <c r="I17" i="84" s="1"/>
  <c r="Y11" i="88"/>
  <c r="BQ11" i="88" s="1"/>
  <c r="AT11" i="88" s="1"/>
  <c r="H18" i="84" s="1"/>
  <c r="X12" i="88"/>
  <c r="BP12" i="88" s="1"/>
  <c r="AS12" i="88" s="1"/>
  <c r="G19" i="84" s="1"/>
  <c r="U15" i="88"/>
  <c r="BM15" i="88" s="1"/>
  <c r="AP15" i="88" s="1"/>
  <c r="D22" i="84" s="1"/>
  <c r="T16" i="88"/>
  <c r="BL16" i="88" s="1"/>
  <c r="AO16" i="88" s="1"/>
  <c r="C23" i="84" s="1"/>
  <c r="A28" i="84"/>
  <c r="T17" i="88" l="1"/>
  <c r="BL17" i="88" s="1"/>
  <c r="AO17" i="88" s="1"/>
  <c r="C24" i="84" s="1"/>
  <c r="U16" i="88"/>
  <c r="BM16" i="88" s="1"/>
  <c r="AP16" i="88" s="1"/>
  <c r="D23" i="84" s="1"/>
  <c r="AA10" i="88"/>
  <c r="BS10" i="88" s="1"/>
  <c r="AV10" i="88" s="1"/>
  <c r="J9" i="84" s="1"/>
  <c r="J17" i="84" s="1"/>
  <c r="Z11" i="88"/>
  <c r="BR11" i="88" s="1"/>
  <c r="AU11" i="88" s="1"/>
  <c r="I18" i="84" s="1"/>
  <c r="V15" i="88"/>
  <c r="BN15" i="88" s="1"/>
  <c r="AQ15" i="88" s="1"/>
  <c r="E22" i="84" s="1"/>
  <c r="X13" i="88"/>
  <c r="BP13" i="88" s="1"/>
  <c r="AS13" i="88" s="1"/>
  <c r="G20" i="84" s="1"/>
  <c r="Y12" i="88"/>
  <c r="BQ12" i="88" s="1"/>
  <c r="AT12" i="88" s="1"/>
  <c r="H19" i="84" s="1"/>
  <c r="W14" i="88"/>
  <c r="BO14" i="88" s="1"/>
  <c r="AR14" i="88" s="1"/>
  <c r="F21" i="84" s="1"/>
  <c r="P19" i="88"/>
  <c r="A29" i="84"/>
  <c r="Q19" i="88" l="1"/>
  <c r="R19" i="88" s="1"/>
  <c r="A30" i="84"/>
  <c r="P20" i="88" l="1"/>
  <c r="AA11" i="88"/>
  <c r="BS11" i="88" s="1"/>
  <c r="AV11" i="88" s="1"/>
  <c r="J18" i="84" s="1"/>
  <c r="Y13" i="88"/>
  <c r="BQ13" i="88" s="1"/>
  <c r="AT13" i="88" s="1"/>
  <c r="H20" i="84" s="1"/>
  <c r="W15" i="88"/>
  <c r="BO15" i="88" s="1"/>
  <c r="AR15" i="88" s="1"/>
  <c r="F22" i="84" s="1"/>
  <c r="V16" i="88"/>
  <c r="BN16" i="88" s="1"/>
  <c r="AQ16" i="88" s="1"/>
  <c r="E23" i="84" s="1"/>
  <c r="Z12" i="88"/>
  <c r="BR12" i="88" s="1"/>
  <c r="AU12" i="88" s="1"/>
  <c r="I19" i="84" s="1"/>
  <c r="U17" i="88"/>
  <c r="BM17" i="88" s="1"/>
  <c r="AP17" i="88" s="1"/>
  <c r="D24" i="84" s="1"/>
  <c r="X14" i="88"/>
  <c r="BP14" i="88" s="1"/>
  <c r="AS14" i="88" s="1"/>
  <c r="G21" i="84" s="1"/>
  <c r="AB10" i="88"/>
  <c r="BT10" i="88" s="1"/>
  <c r="AW10" i="88" s="1"/>
  <c r="K9" i="84" s="1"/>
  <c r="K17" i="84" s="1"/>
  <c r="T18" i="88"/>
  <c r="BL18" i="88" s="1"/>
  <c r="AO18" i="88" s="1"/>
  <c r="C25" i="84" s="1"/>
  <c r="A31" i="84"/>
  <c r="Q20" i="88" l="1"/>
  <c r="R20" i="88" s="1"/>
  <c r="A32" i="84"/>
  <c r="P21" i="88" l="1"/>
  <c r="Q21" i="88" s="1"/>
  <c r="R21" i="88" s="1"/>
  <c r="W16" i="88"/>
  <c r="BO16" i="88" s="1"/>
  <c r="AR16" i="88" s="1"/>
  <c r="F23" i="84" s="1"/>
  <c r="Z13" i="88"/>
  <c r="BR13" i="88" s="1"/>
  <c r="AU13" i="88" s="1"/>
  <c r="I20" i="84" s="1"/>
  <c r="AA12" i="88"/>
  <c r="BS12" i="88" s="1"/>
  <c r="AV12" i="88" s="1"/>
  <c r="J19" i="84" s="1"/>
  <c r="V17" i="88"/>
  <c r="BN17" i="88" s="1"/>
  <c r="AQ17" i="88" s="1"/>
  <c r="E24" i="84" s="1"/>
  <c r="AC10" i="88"/>
  <c r="BU10" i="88" s="1"/>
  <c r="AX10" i="88" s="1"/>
  <c r="L9" i="84" s="1"/>
  <c r="L17" i="84" s="1"/>
  <c r="T19" i="88"/>
  <c r="BL19" i="88" s="1"/>
  <c r="AO19" i="88" s="1"/>
  <c r="C26" i="84" s="1"/>
  <c r="X15" i="88"/>
  <c r="BP15" i="88" s="1"/>
  <c r="AS15" i="88" s="1"/>
  <c r="G22" i="84" s="1"/>
  <c r="U18" i="88"/>
  <c r="BM18" i="88" s="1"/>
  <c r="AP18" i="88" s="1"/>
  <c r="D25" i="84" s="1"/>
  <c r="Y14" i="88"/>
  <c r="BQ14" i="88" s="1"/>
  <c r="AT14" i="88" s="1"/>
  <c r="H21" i="84" s="1"/>
  <c r="AB11" i="88"/>
  <c r="BT11" i="88" s="1"/>
  <c r="AW11" i="88" s="1"/>
  <c r="K18" i="84" s="1"/>
  <c r="A33" i="84"/>
  <c r="P22" i="88" l="1"/>
  <c r="Q22" i="88" s="1"/>
  <c r="R22" i="88" s="1"/>
  <c r="X17" i="88" s="1"/>
  <c r="Y15" i="88"/>
  <c r="BQ15" i="88" s="1"/>
  <c r="AT15" i="88" s="1"/>
  <c r="H22" i="84" s="1"/>
  <c r="AB12" i="88"/>
  <c r="BT12" i="88" s="1"/>
  <c r="AW12" i="88" s="1"/>
  <c r="K19" i="84" s="1"/>
  <c r="W17" i="88"/>
  <c r="BO17" i="88" s="1"/>
  <c r="AR17" i="88" s="1"/>
  <c r="F24" i="84" s="1"/>
  <c r="Z14" i="88"/>
  <c r="BR14" i="88" s="1"/>
  <c r="AU14" i="88" s="1"/>
  <c r="I21" i="84" s="1"/>
  <c r="AC11" i="88"/>
  <c r="BU11" i="88" s="1"/>
  <c r="AX11" i="88" s="1"/>
  <c r="L18" i="84" s="1"/>
  <c r="U19" i="88"/>
  <c r="BM19" i="88" s="1"/>
  <c r="AP19" i="88" s="1"/>
  <c r="D26" i="84" s="1"/>
  <c r="X16" i="88"/>
  <c r="BP16" i="88" s="1"/>
  <c r="AS16" i="88" s="1"/>
  <c r="G23" i="84" s="1"/>
  <c r="V18" i="88"/>
  <c r="BN18" i="88" s="1"/>
  <c r="AQ18" i="88" s="1"/>
  <c r="E25" i="84" s="1"/>
  <c r="AA13" i="88"/>
  <c r="BS13" i="88" s="1"/>
  <c r="AV13" i="88" s="1"/>
  <c r="J20" i="84" s="1"/>
  <c r="T20" i="88"/>
  <c r="BL20" i="88" s="1"/>
  <c r="AO20" i="88" s="1"/>
  <c r="C27" i="84" s="1"/>
  <c r="AD10" i="88"/>
  <c r="BV10" i="88" s="1"/>
  <c r="AY10" i="88" s="1"/>
  <c r="M9" i="84" s="1"/>
  <c r="M17" i="84" s="1"/>
  <c r="A34" i="84"/>
  <c r="P23" i="88" l="1"/>
  <c r="Q23" i="88" s="1"/>
  <c r="R23" i="88" s="1"/>
  <c r="AE10" i="88"/>
  <c r="BW10" i="88" s="1"/>
  <c r="AZ10" i="88" s="1"/>
  <c r="N9" i="84" s="1"/>
  <c r="N17" i="84" s="1"/>
  <c r="AB13" i="88"/>
  <c r="BT13" i="88" s="1"/>
  <c r="AW13" i="88" s="1"/>
  <c r="K20" i="84" s="1"/>
  <c r="AC12" i="88"/>
  <c r="BU12" i="88" s="1"/>
  <c r="AX12" i="88" s="1"/>
  <c r="L19" i="84" s="1"/>
  <c r="BP17" i="88"/>
  <c r="AS17" i="88" s="1"/>
  <c r="G24" i="84" s="1"/>
  <c r="W18" i="88"/>
  <c r="BO18" i="88" s="1"/>
  <c r="AR18" i="88" s="1"/>
  <c r="F25" i="84" s="1"/>
  <c r="AA14" i="88"/>
  <c r="BS14" i="88" s="1"/>
  <c r="AV14" i="88" s="1"/>
  <c r="J21" i="84" s="1"/>
  <c r="T21" i="88"/>
  <c r="BL21" i="88" s="1"/>
  <c r="AO21" i="88" s="1"/>
  <c r="C28" i="84" s="1"/>
  <c r="AD11" i="88"/>
  <c r="BV11" i="88" s="1"/>
  <c r="AY11" i="88" s="1"/>
  <c r="M18" i="84" s="1"/>
  <c r="U20" i="88"/>
  <c r="BM20" i="88" s="1"/>
  <c r="AP20" i="88" s="1"/>
  <c r="D27" i="84" s="1"/>
  <c r="V19" i="88"/>
  <c r="BN19" i="88" s="1"/>
  <c r="AQ19" i="88" s="1"/>
  <c r="E26" i="84" s="1"/>
  <c r="Z15" i="88"/>
  <c r="BR15" i="88" s="1"/>
  <c r="AU15" i="88" s="1"/>
  <c r="I22" i="84" s="1"/>
  <c r="Y16" i="88"/>
  <c r="BQ16" i="88" s="1"/>
  <c r="AT16" i="88" s="1"/>
  <c r="H23" i="84" s="1"/>
  <c r="A35" i="84"/>
  <c r="P24" i="88" l="1"/>
  <c r="AD12" i="88"/>
  <c r="BV12" i="88" s="1"/>
  <c r="AY12" i="88" s="1"/>
  <c r="M19" i="84" s="1"/>
  <c r="T22" i="88"/>
  <c r="BL22" i="88" s="1"/>
  <c r="AO22" i="88" s="1"/>
  <c r="C29" i="84" s="1"/>
  <c r="AE11" i="88"/>
  <c r="BW11" i="88" s="1"/>
  <c r="AZ11" i="88" s="1"/>
  <c r="N18" i="84" s="1"/>
  <c r="AC13" i="88"/>
  <c r="BU13" i="88" s="1"/>
  <c r="AX13" i="88" s="1"/>
  <c r="L20" i="84" s="1"/>
  <c r="AF10" i="88"/>
  <c r="BX10" i="88" s="1"/>
  <c r="BA10" i="88" s="1"/>
  <c r="O9" i="84" s="1"/>
  <c r="O17" i="84" s="1"/>
  <c r="Y17" i="88"/>
  <c r="BQ17" i="88" s="1"/>
  <c r="AT17" i="88" s="1"/>
  <c r="H24" i="84" s="1"/>
  <c r="AB14" i="88"/>
  <c r="BT14" i="88" s="1"/>
  <c r="AW14" i="88" s="1"/>
  <c r="K21" i="84" s="1"/>
  <c r="V20" i="88"/>
  <c r="BN20" i="88" s="1"/>
  <c r="AQ20" i="88" s="1"/>
  <c r="E27" i="84" s="1"/>
  <c r="Z16" i="88"/>
  <c r="BR16" i="88" s="1"/>
  <c r="AU16" i="88" s="1"/>
  <c r="I23" i="84" s="1"/>
  <c r="U21" i="88"/>
  <c r="BM21" i="88" s="1"/>
  <c r="AP21" i="88" s="1"/>
  <c r="D28" i="84" s="1"/>
  <c r="AA15" i="88"/>
  <c r="BS15" i="88" s="1"/>
  <c r="AV15" i="88" s="1"/>
  <c r="J22" i="84" s="1"/>
  <c r="X18" i="88"/>
  <c r="BP18" i="88" s="1"/>
  <c r="AS18" i="88" s="1"/>
  <c r="G25" i="84" s="1"/>
  <c r="W19" i="88"/>
  <c r="BO19" i="88" s="1"/>
  <c r="AR19" i="88" s="1"/>
  <c r="F26" i="84" s="1"/>
  <c r="A36" i="84"/>
  <c r="Q24" i="88" l="1"/>
  <c r="R24" i="88" s="1"/>
  <c r="A37" i="84"/>
  <c r="A38" i="84" l="1"/>
  <c r="P25" i="88"/>
  <c r="Q25" i="88" s="1"/>
  <c r="R25" i="88" s="1"/>
  <c r="AD13" i="88"/>
  <c r="BV13" i="88" s="1"/>
  <c r="AY13" i="88" s="1"/>
  <c r="M20" i="84" s="1"/>
  <c r="W20" i="88"/>
  <c r="BO20" i="88" s="1"/>
  <c r="AR20" i="88" s="1"/>
  <c r="F27" i="84" s="1"/>
  <c r="X19" i="88"/>
  <c r="BP19" i="88" s="1"/>
  <c r="AS19" i="88" s="1"/>
  <c r="G26" i="84" s="1"/>
  <c r="Y18" i="88"/>
  <c r="BQ18" i="88" s="1"/>
  <c r="AT18" i="88" s="1"/>
  <c r="H25" i="84" s="1"/>
  <c r="AB15" i="88"/>
  <c r="BT15" i="88" s="1"/>
  <c r="AW15" i="88" s="1"/>
  <c r="K22" i="84" s="1"/>
  <c r="AE12" i="88"/>
  <c r="BW12" i="88" s="1"/>
  <c r="AZ12" i="88" s="1"/>
  <c r="N19" i="84" s="1"/>
  <c r="AF11" i="88"/>
  <c r="BX11" i="88" s="1"/>
  <c r="BA11" i="88" s="1"/>
  <c r="O18" i="84" s="1"/>
  <c r="T23" i="88"/>
  <c r="BL23" i="88" s="1"/>
  <c r="AO23" i="88" s="1"/>
  <c r="C30" i="84" s="1"/>
  <c r="AC14" i="88"/>
  <c r="BU14" i="88" s="1"/>
  <c r="AX14" i="88" s="1"/>
  <c r="L21" i="84" s="1"/>
  <c r="AG10" i="88"/>
  <c r="BY10" i="88" s="1"/>
  <c r="BB10" i="88" s="1"/>
  <c r="P9" i="84" s="1"/>
  <c r="P17" i="84" s="1"/>
  <c r="U22" i="88"/>
  <c r="BM22" i="88" s="1"/>
  <c r="AP22" i="88" s="1"/>
  <c r="D29" i="84" s="1"/>
  <c r="V21" i="88"/>
  <c r="BN21" i="88" s="1"/>
  <c r="AQ21" i="88" s="1"/>
  <c r="E28" i="84" s="1"/>
  <c r="Z17" i="88"/>
  <c r="BR17" i="88" s="1"/>
  <c r="AU17" i="88" s="1"/>
  <c r="I24" i="84" s="1"/>
  <c r="AA16" i="88"/>
  <c r="BS16" i="88" s="1"/>
  <c r="AV16" i="88" s="1"/>
  <c r="J23" i="84" s="1"/>
  <c r="A39" i="84" l="1"/>
  <c r="AA17" i="88"/>
  <c r="BS17" i="88" s="1"/>
  <c r="AV17" i="88" s="1"/>
  <c r="J24" i="84" s="1"/>
  <c r="AB16" i="88"/>
  <c r="BT16" i="88" s="1"/>
  <c r="AW16" i="88" s="1"/>
  <c r="K23" i="84" s="1"/>
  <c r="AC15" i="88"/>
  <c r="BU15" i="88" s="1"/>
  <c r="AX15" i="88" s="1"/>
  <c r="L22" i="84" s="1"/>
  <c r="V22" i="88"/>
  <c r="BN22" i="88" s="1"/>
  <c r="AQ22" i="88" s="1"/>
  <c r="E29" i="84" s="1"/>
  <c r="U23" i="88"/>
  <c r="BM23" i="88" s="1"/>
  <c r="AP23" i="88" s="1"/>
  <c r="D30" i="84" s="1"/>
  <c r="Z18" i="88"/>
  <c r="BR18" i="88" s="1"/>
  <c r="AU18" i="88" s="1"/>
  <c r="I25" i="84" s="1"/>
  <c r="T24" i="88"/>
  <c r="BL24" i="88" s="1"/>
  <c r="AO24" i="88" s="1"/>
  <c r="C31" i="84" s="1"/>
  <c r="AH10" i="88"/>
  <c r="BZ10" i="88" s="1"/>
  <c r="BC10" i="88" s="1"/>
  <c r="Q9" i="84" s="1"/>
  <c r="Q17" i="84" s="1"/>
  <c r="W21" i="88"/>
  <c r="BO21" i="88" s="1"/>
  <c r="AR21" i="88" s="1"/>
  <c r="F28" i="84" s="1"/>
  <c r="Y19" i="88"/>
  <c r="BQ19" i="88" s="1"/>
  <c r="AT19" i="88" s="1"/>
  <c r="H26" i="84" s="1"/>
  <c r="X20" i="88"/>
  <c r="BP20" i="88" s="1"/>
  <c r="AS20" i="88" s="1"/>
  <c r="G27" i="84" s="1"/>
  <c r="AD14" i="88"/>
  <c r="BV14" i="88" s="1"/>
  <c r="AY14" i="88" s="1"/>
  <c r="M21" i="84" s="1"/>
  <c r="AE13" i="88"/>
  <c r="BW13" i="88" s="1"/>
  <c r="AZ13" i="88" s="1"/>
  <c r="N20" i="84" s="1"/>
  <c r="AF12" i="88"/>
  <c r="BX12" i="88" s="1"/>
  <c r="BA12" i="88" s="1"/>
  <c r="O19" i="84" s="1"/>
  <c r="AG11" i="88"/>
  <c r="BY11" i="88" s="1"/>
  <c r="BB11" i="88" s="1"/>
  <c r="P18" i="84" s="1"/>
  <c r="P26" i="88"/>
  <c r="A40" i="84" l="1"/>
  <c r="Q26" i="88"/>
  <c r="R26" i="88" s="1"/>
  <c r="A41" i="84" l="1"/>
  <c r="P27" i="88"/>
  <c r="Q27" i="88" s="1"/>
  <c r="R27" i="88" s="1"/>
  <c r="AA18" i="88"/>
  <c r="BS18" i="88" s="1"/>
  <c r="AV18" i="88" s="1"/>
  <c r="J25" i="84" s="1"/>
  <c r="AI10" i="88"/>
  <c r="CA10" i="88" s="1"/>
  <c r="BD10" i="88" s="1"/>
  <c r="R9" i="84" s="1"/>
  <c r="R17" i="84" s="1"/>
  <c r="W22" i="88"/>
  <c r="BO22" i="88" s="1"/>
  <c r="AR22" i="88" s="1"/>
  <c r="F29" i="84" s="1"/>
  <c r="V23" i="88"/>
  <c r="BN23" i="88" s="1"/>
  <c r="AQ23" i="88" s="1"/>
  <c r="E30" i="84" s="1"/>
  <c r="Y20" i="88"/>
  <c r="BQ20" i="88" s="1"/>
  <c r="AT20" i="88" s="1"/>
  <c r="H27" i="84" s="1"/>
  <c r="Z19" i="88"/>
  <c r="BR19" i="88" s="1"/>
  <c r="AU19" i="88" s="1"/>
  <c r="I26" i="84" s="1"/>
  <c r="X21" i="88"/>
  <c r="BP21" i="88" s="1"/>
  <c r="AS21" i="88" s="1"/>
  <c r="G28" i="84" s="1"/>
  <c r="T25" i="88"/>
  <c r="BL25" i="88" s="1"/>
  <c r="AO25" i="88" s="1"/>
  <c r="C32" i="84" s="1"/>
  <c r="AE14" i="88"/>
  <c r="BW14" i="88" s="1"/>
  <c r="AZ14" i="88" s="1"/>
  <c r="N21" i="84" s="1"/>
  <c r="AH11" i="88"/>
  <c r="BZ11" i="88" s="1"/>
  <c r="BC11" i="88" s="1"/>
  <c r="Q18" i="84" s="1"/>
  <c r="AG12" i="88"/>
  <c r="BY12" i="88" s="1"/>
  <c r="BB12" i="88" s="1"/>
  <c r="P19" i="84" s="1"/>
  <c r="AF13" i="88"/>
  <c r="BX13" i="88" s="1"/>
  <c r="BA13" i="88" s="1"/>
  <c r="O20" i="84" s="1"/>
  <c r="AD15" i="88"/>
  <c r="BV15" i="88" s="1"/>
  <c r="AY15" i="88" s="1"/>
  <c r="M22" i="84" s="1"/>
  <c r="AC16" i="88"/>
  <c r="BU16" i="88" s="1"/>
  <c r="AX16" i="88" s="1"/>
  <c r="L23" i="84" s="1"/>
  <c r="AB17" i="88"/>
  <c r="BT17" i="88" s="1"/>
  <c r="AW17" i="88" s="1"/>
  <c r="K24" i="84" s="1"/>
  <c r="U24" i="88"/>
  <c r="BM24" i="88" s="1"/>
  <c r="AP24" i="88" s="1"/>
  <c r="D31" i="84" s="1"/>
  <c r="A42" i="84" l="1"/>
  <c r="P28" i="88"/>
  <c r="Q28" i="88" s="1"/>
  <c r="R28" i="88" s="1"/>
  <c r="T26" i="88"/>
  <c r="BL26" i="88" s="1"/>
  <c r="AO26" i="88" s="1"/>
  <c r="C33" i="84" s="1"/>
  <c r="W23" i="88"/>
  <c r="BO23" i="88" s="1"/>
  <c r="AR23" i="88" s="1"/>
  <c r="F30" i="84" s="1"/>
  <c r="V24" i="88"/>
  <c r="BN24" i="88" s="1"/>
  <c r="AQ24" i="88" s="1"/>
  <c r="E31" i="84" s="1"/>
  <c r="AE15" i="88"/>
  <c r="BW15" i="88" s="1"/>
  <c r="AZ15" i="88" s="1"/>
  <c r="N22" i="84" s="1"/>
  <c r="AD16" i="88"/>
  <c r="BV16" i="88" s="1"/>
  <c r="AY16" i="88" s="1"/>
  <c r="M23" i="84" s="1"/>
  <c r="AF14" i="88"/>
  <c r="BX14" i="88" s="1"/>
  <c r="BA14" i="88" s="1"/>
  <c r="O21" i="84" s="1"/>
  <c r="AJ10" i="88"/>
  <c r="CB10" i="88" s="1"/>
  <c r="BE10" i="88" s="1"/>
  <c r="S9" i="84" s="1"/>
  <c r="S17" i="84" s="1"/>
  <c r="AA19" i="88"/>
  <c r="BS19" i="88" s="1"/>
  <c r="AV19" i="88" s="1"/>
  <c r="J26" i="84" s="1"/>
  <c r="AC17" i="88"/>
  <c r="BU17" i="88" s="1"/>
  <c r="AX17" i="88" s="1"/>
  <c r="L24" i="84" s="1"/>
  <c r="X22" i="88"/>
  <c r="BP22" i="88" s="1"/>
  <c r="AS22" i="88" s="1"/>
  <c r="G29" i="84" s="1"/>
  <c r="AH12" i="88"/>
  <c r="BZ12" i="88" s="1"/>
  <c r="BC12" i="88" s="1"/>
  <c r="Q19" i="84" s="1"/>
  <c r="Y21" i="88"/>
  <c r="BQ21" i="88" s="1"/>
  <c r="AT21" i="88" s="1"/>
  <c r="H28" i="84" s="1"/>
  <c r="AB18" i="88"/>
  <c r="BT18" i="88" s="1"/>
  <c r="AW18" i="88" s="1"/>
  <c r="K25" i="84" s="1"/>
  <c r="AG13" i="88"/>
  <c r="BY13" i="88" s="1"/>
  <c r="BB13" i="88" s="1"/>
  <c r="P20" i="84" s="1"/>
  <c r="U25" i="88"/>
  <c r="BM25" i="88" s="1"/>
  <c r="AP25" i="88" s="1"/>
  <c r="D32" i="84" s="1"/>
  <c r="AI11" i="88"/>
  <c r="CA11" i="88" s="1"/>
  <c r="BD11" i="88" s="1"/>
  <c r="R18" i="84" s="1"/>
  <c r="Z20" i="88"/>
  <c r="BR20" i="88" s="1"/>
  <c r="AU20" i="88" s="1"/>
  <c r="I27" i="84" s="1"/>
  <c r="A43" i="84" l="1"/>
  <c r="U26" i="88"/>
  <c r="BM26" i="88" s="1"/>
  <c r="AP26" i="88" s="1"/>
  <c r="D33" i="84" s="1"/>
  <c r="AC18" i="88"/>
  <c r="BU18" i="88" s="1"/>
  <c r="AX18" i="88" s="1"/>
  <c r="L25" i="84" s="1"/>
  <c r="AE16" i="88"/>
  <c r="BW16" i="88" s="1"/>
  <c r="AZ16" i="88" s="1"/>
  <c r="N23" i="84" s="1"/>
  <c r="AG14" i="88"/>
  <c r="BY14" i="88" s="1"/>
  <c r="BB14" i="88" s="1"/>
  <c r="P21" i="84" s="1"/>
  <c r="AI12" i="88"/>
  <c r="CA12" i="88" s="1"/>
  <c r="BD12" i="88" s="1"/>
  <c r="R19" i="84" s="1"/>
  <c r="AB19" i="88"/>
  <c r="BT19" i="88" s="1"/>
  <c r="AW19" i="88" s="1"/>
  <c r="K26" i="84" s="1"/>
  <c r="Z21" i="88"/>
  <c r="BR21" i="88" s="1"/>
  <c r="AU21" i="88" s="1"/>
  <c r="I28" i="84" s="1"/>
  <c r="W24" i="88"/>
  <c r="BO24" i="88" s="1"/>
  <c r="AR24" i="88" s="1"/>
  <c r="F31" i="84" s="1"/>
  <c r="AH13" i="88"/>
  <c r="BZ13" i="88" s="1"/>
  <c r="BC13" i="88" s="1"/>
  <c r="Q20" i="84" s="1"/>
  <c r="X23" i="88"/>
  <c r="BP23" i="88" s="1"/>
  <c r="AS23" i="88" s="1"/>
  <c r="G30" i="84" s="1"/>
  <c r="AF15" i="88"/>
  <c r="BX15" i="88" s="1"/>
  <c r="BA15" i="88" s="1"/>
  <c r="O22" i="84" s="1"/>
  <c r="AK10" i="88"/>
  <c r="CC10" i="88" s="1"/>
  <c r="BF10" i="88" s="1"/>
  <c r="T9" i="84" s="1"/>
  <c r="T17" i="84" s="1"/>
  <c r="Y22" i="88"/>
  <c r="BQ22" i="88" s="1"/>
  <c r="AT22" i="88" s="1"/>
  <c r="H29" i="84" s="1"/>
  <c r="AD17" i="88"/>
  <c r="BV17" i="88" s="1"/>
  <c r="AY17" i="88" s="1"/>
  <c r="M24" i="84" s="1"/>
  <c r="V25" i="88"/>
  <c r="BN25" i="88" s="1"/>
  <c r="AQ25" i="88" s="1"/>
  <c r="E32" i="84" s="1"/>
  <c r="T27" i="88"/>
  <c r="BL27" i="88" s="1"/>
  <c r="AO27" i="88" s="1"/>
  <c r="C34" i="84" s="1"/>
  <c r="AA20" i="88"/>
  <c r="BS20" i="88" s="1"/>
  <c r="AV20" i="88" s="1"/>
  <c r="J27" i="84" s="1"/>
  <c r="AJ11" i="88"/>
  <c r="CB11" i="88" s="1"/>
  <c r="BE11" i="88" s="1"/>
  <c r="S18" i="84" s="1"/>
  <c r="P29" i="88"/>
  <c r="A44" i="84" l="1"/>
  <c r="Q29" i="88"/>
  <c r="R29" i="88" s="1"/>
  <c r="A45" i="84" l="1"/>
  <c r="P30" i="88"/>
  <c r="V26" i="88"/>
  <c r="BN26" i="88" s="1"/>
  <c r="AQ26" i="88" s="1"/>
  <c r="E33" i="84" s="1"/>
  <c r="Y23" i="88"/>
  <c r="BQ23" i="88" s="1"/>
  <c r="AT23" i="88" s="1"/>
  <c r="H30" i="84" s="1"/>
  <c r="AG15" i="88"/>
  <c r="BY15" i="88" s="1"/>
  <c r="BB15" i="88" s="1"/>
  <c r="P22" i="84" s="1"/>
  <c r="AH14" i="88"/>
  <c r="BZ14" i="88" s="1"/>
  <c r="BC14" i="88" s="1"/>
  <c r="Q21" i="84" s="1"/>
  <c r="T28" i="88"/>
  <c r="BL28" i="88" s="1"/>
  <c r="AO28" i="88" s="1"/>
  <c r="C35" i="84" s="1"/>
  <c r="W25" i="88"/>
  <c r="BO25" i="88" s="1"/>
  <c r="AR25" i="88" s="1"/>
  <c r="F32" i="84" s="1"/>
  <c r="AJ12" i="88"/>
  <c r="CB12" i="88" s="1"/>
  <c r="BE12" i="88" s="1"/>
  <c r="S19" i="84" s="1"/>
  <c r="AI13" i="88"/>
  <c r="CA13" i="88" s="1"/>
  <c r="BD13" i="88" s="1"/>
  <c r="R20" i="84" s="1"/>
  <c r="AE17" i="88"/>
  <c r="BW17" i="88" s="1"/>
  <c r="AZ17" i="88" s="1"/>
  <c r="N24" i="84" s="1"/>
  <c r="AD18" i="88"/>
  <c r="BV18" i="88" s="1"/>
  <c r="AY18" i="88" s="1"/>
  <c r="M25" i="84" s="1"/>
  <c r="Z22" i="88"/>
  <c r="BR22" i="88" s="1"/>
  <c r="AU22" i="88" s="1"/>
  <c r="I29" i="84" s="1"/>
  <c r="AF16" i="88"/>
  <c r="BX16" i="88" s="1"/>
  <c r="BA16" i="88" s="1"/>
  <c r="O23" i="84" s="1"/>
  <c r="X24" i="88"/>
  <c r="BP24" i="88" s="1"/>
  <c r="AS24" i="88" s="1"/>
  <c r="G31" i="84" s="1"/>
  <c r="AA21" i="88"/>
  <c r="BS21" i="88" s="1"/>
  <c r="AV21" i="88" s="1"/>
  <c r="J28" i="84" s="1"/>
  <c r="AC19" i="88"/>
  <c r="BU19" i="88" s="1"/>
  <c r="AX19" i="88" s="1"/>
  <c r="L26" i="84" s="1"/>
  <c r="AL10" i="88"/>
  <c r="CD10" i="88" s="1"/>
  <c r="BG10" i="88" s="1"/>
  <c r="U9" i="84" s="1"/>
  <c r="U17" i="84" s="1"/>
  <c r="U27" i="88"/>
  <c r="BM27" i="88" s="1"/>
  <c r="AP27" i="88" s="1"/>
  <c r="D34" i="84" s="1"/>
  <c r="AK11" i="88"/>
  <c r="CC11" i="88" s="1"/>
  <c r="BF11" i="88" s="1"/>
  <c r="T18" i="84" s="1"/>
  <c r="AB20" i="88"/>
  <c r="BT20" i="88" s="1"/>
  <c r="AW20" i="88" s="1"/>
  <c r="K27" i="84" s="1"/>
  <c r="Q30" i="88"/>
  <c r="R30" i="88" s="1"/>
  <c r="R80" i="88" l="1"/>
  <c r="R64" i="88"/>
  <c r="R77" i="88"/>
  <c r="R90" i="88"/>
  <c r="R74" i="88"/>
  <c r="R79" i="88"/>
  <c r="R73" i="88"/>
  <c r="R84" i="88"/>
  <c r="R68" i="88"/>
  <c r="R52" i="88"/>
  <c r="R81" i="88"/>
  <c r="R53" i="88"/>
  <c r="R33" i="88"/>
  <c r="R78" i="88"/>
  <c r="R62" i="88"/>
  <c r="R46" i="88"/>
  <c r="R83" i="88"/>
  <c r="R67" i="88"/>
  <c r="R51" i="88"/>
  <c r="R35" i="88"/>
  <c r="R85" i="88"/>
  <c r="R45" i="88"/>
  <c r="R88" i="88"/>
  <c r="R72" i="88"/>
  <c r="R56" i="88"/>
  <c r="R40" i="88"/>
  <c r="R61" i="88"/>
  <c r="R89" i="88"/>
  <c r="R82" i="88"/>
  <c r="R66" i="88"/>
  <c r="R50" i="88"/>
  <c r="R87" i="88"/>
  <c r="R71" i="88"/>
  <c r="R55" i="88"/>
  <c r="R39" i="88"/>
  <c r="R32" i="88"/>
  <c r="R57" i="88"/>
  <c r="R38" i="88"/>
  <c r="R43" i="88"/>
  <c r="R65" i="88"/>
  <c r="R34" i="88"/>
  <c r="R48" i="88"/>
  <c r="R58" i="88"/>
  <c r="R47" i="88"/>
  <c r="R37" i="88"/>
  <c r="R76" i="88"/>
  <c r="R60" i="88"/>
  <c r="R44" i="88"/>
  <c r="R69" i="88"/>
  <c r="R41" i="88"/>
  <c r="R86" i="88"/>
  <c r="R70" i="88"/>
  <c r="R54" i="88"/>
  <c r="R75" i="88"/>
  <c r="R59" i="88"/>
  <c r="R36" i="88"/>
  <c r="R49" i="88"/>
  <c r="R42" i="88"/>
  <c r="R63" i="88"/>
  <c r="R31" i="88"/>
  <c r="A46" i="84"/>
  <c r="P31" i="88"/>
  <c r="Q31" i="88" s="1"/>
  <c r="P32" i="88" s="1"/>
  <c r="Q32" i="88" s="1"/>
  <c r="P33" i="88" s="1"/>
  <c r="Q33" i="88" s="1"/>
  <c r="P34" i="88" s="1"/>
  <c r="Q34" i="88" s="1"/>
  <c r="P35" i="88" s="1"/>
  <c r="Q35" i="88" s="1"/>
  <c r="P36" i="88" s="1"/>
  <c r="Q36" i="88" s="1"/>
  <c r="P37" i="88" s="1"/>
  <c r="Q37" i="88" s="1"/>
  <c r="P38" i="88" s="1"/>
  <c r="Q38" i="88" s="1"/>
  <c r="P39" i="88" s="1"/>
  <c r="Q39" i="88" s="1"/>
  <c r="P40" i="88" s="1"/>
  <c r="Q40" i="88" s="1"/>
  <c r="P41" i="88" s="1"/>
  <c r="Q41" i="88" s="1"/>
  <c r="P42" i="88" s="1"/>
  <c r="Q42" i="88" s="1"/>
  <c r="P43" i="88" s="1"/>
  <c r="AI14" i="88"/>
  <c r="CA14" i="88" s="1"/>
  <c r="BD14" i="88" s="1"/>
  <c r="R21" i="84" s="1"/>
  <c r="V27" i="88"/>
  <c r="BN27" i="88" s="1"/>
  <c r="AQ27" i="88" s="1"/>
  <c r="E34" i="84" s="1"/>
  <c r="AF17" i="88"/>
  <c r="BX17" i="88" s="1"/>
  <c r="BA17" i="88" s="1"/>
  <c r="O24" i="84" s="1"/>
  <c r="W26" i="88"/>
  <c r="BO26" i="88" s="1"/>
  <c r="AR26" i="88" s="1"/>
  <c r="F33" i="84" s="1"/>
  <c r="U28" i="88"/>
  <c r="BM28" i="88" s="1"/>
  <c r="AP28" i="88" s="1"/>
  <c r="D35" i="84" s="1"/>
  <c r="AE18" i="88"/>
  <c r="BW18" i="88" s="1"/>
  <c r="AZ18" i="88" s="1"/>
  <c r="N25" i="84" s="1"/>
  <c r="AM10" i="88"/>
  <c r="CE10" i="88" s="1"/>
  <c r="BH10" i="88" s="1"/>
  <c r="V9" i="84" s="1"/>
  <c r="V17" i="84" s="1"/>
  <c r="AG16" i="88"/>
  <c r="BY16" i="88" s="1"/>
  <c r="BB16" i="88" s="1"/>
  <c r="P23" i="84" s="1"/>
  <c r="T29" i="88"/>
  <c r="BL29" i="88" s="1"/>
  <c r="AO29" i="88" s="1"/>
  <c r="C36" i="84" s="1"/>
  <c r="Y24" i="88"/>
  <c r="BQ24" i="88" s="1"/>
  <c r="AT24" i="88" s="1"/>
  <c r="H31" i="84" s="1"/>
  <c r="AH15" i="88"/>
  <c r="BZ15" i="88" s="1"/>
  <c r="BC15" i="88" s="1"/>
  <c r="Q22" i="84" s="1"/>
  <c r="AD19" i="88"/>
  <c r="BV19" i="88" s="1"/>
  <c r="AY19" i="88" s="1"/>
  <c r="M26" i="84" s="1"/>
  <c r="Z23" i="88"/>
  <c r="BR23" i="88" s="1"/>
  <c r="AU23" i="88" s="1"/>
  <c r="I30" i="84" s="1"/>
  <c r="AL11" i="88"/>
  <c r="CD11" i="88" s="1"/>
  <c r="BG11" i="88" s="1"/>
  <c r="U18" i="84" s="1"/>
  <c r="AB21" i="88"/>
  <c r="BT21" i="88" s="1"/>
  <c r="AW21" i="88" s="1"/>
  <c r="K28" i="84" s="1"/>
  <c r="AC20" i="88"/>
  <c r="BU20" i="88" s="1"/>
  <c r="AX20" i="88" s="1"/>
  <c r="L27" i="84" s="1"/>
  <c r="AK12" i="88"/>
  <c r="CC12" i="88" s="1"/>
  <c r="BF12" i="88" s="1"/>
  <c r="T19" i="84" s="1"/>
  <c r="X25" i="88"/>
  <c r="BP25" i="88" s="1"/>
  <c r="AS25" i="88" s="1"/>
  <c r="G32" i="84" s="1"/>
  <c r="AJ13" i="88"/>
  <c r="CB13" i="88" s="1"/>
  <c r="BE13" i="88" s="1"/>
  <c r="S20" i="84" s="1"/>
  <c r="AA22" i="88"/>
  <c r="BS22" i="88" s="1"/>
  <c r="AV22" i="88" s="1"/>
  <c r="J29" i="84" s="1"/>
  <c r="A47" i="84" l="1"/>
  <c r="Q43" i="88"/>
  <c r="P44" i="88" s="1"/>
  <c r="A48" i="84" l="1"/>
  <c r="Q44" i="88"/>
  <c r="P45" i="88" s="1"/>
  <c r="A49" i="84" l="1"/>
  <c r="Q45" i="88"/>
  <c r="P46" i="88" s="1"/>
  <c r="A50" i="84" l="1"/>
  <c r="Q46" i="88"/>
  <c r="P47" i="88" s="1"/>
  <c r="A51" i="84" l="1"/>
  <c r="Q47" i="88"/>
  <c r="P48" i="88" s="1"/>
  <c r="A52" i="84" l="1"/>
  <c r="Q48" i="88"/>
  <c r="P49" i="88" s="1"/>
  <c r="A53" i="84" l="1"/>
  <c r="Q49" i="88"/>
  <c r="P50" i="88" s="1"/>
  <c r="A54" i="84" l="1"/>
  <c r="Q50" i="88"/>
  <c r="P51" i="88" s="1"/>
  <c r="A55" i="84" l="1"/>
  <c r="Q51" i="88"/>
  <c r="P52" i="88" s="1"/>
  <c r="A56" i="84" l="1"/>
  <c r="Q52" i="88"/>
  <c r="P53" i="88" s="1"/>
  <c r="A57" i="84" l="1"/>
  <c r="Q53" i="88"/>
  <c r="P54" i="88" s="1"/>
  <c r="A58" i="84" l="1"/>
  <c r="Q54" i="88"/>
  <c r="P55" i="88" s="1"/>
  <c r="A59" i="84" l="1"/>
  <c r="Q55" i="88"/>
  <c r="P56" i="88" s="1"/>
  <c r="A60" i="84" l="1"/>
  <c r="Q56" i="88"/>
  <c r="P57" i="88" s="1"/>
  <c r="A61" i="84" l="1"/>
  <c r="Q57" i="88"/>
  <c r="P58" i="88" s="1"/>
  <c r="A62" i="84" l="1"/>
  <c r="Q58" i="88"/>
  <c r="P59" i="88" s="1"/>
  <c r="A63" i="84" l="1"/>
  <c r="Q59" i="88"/>
  <c r="P60" i="88" s="1"/>
  <c r="A64" i="84" l="1"/>
  <c r="Q60" i="88"/>
  <c r="P61" i="88" s="1"/>
  <c r="A65" i="84" l="1"/>
  <c r="Q61" i="88"/>
  <c r="P62" i="88" s="1"/>
  <c r="A66" i="84" l="1"/>
  <c r="BL55" i="88"/>
  <c r="Q62" i="88"/>
  <c r="P63" i="88" s="1"/>
  <c r="A67" i="84" l="1"/>
  <c r="BM55" i="88"/>
  <c r="Q63" i="88"/>
  <c r="P64" i="88" s="1"/>
  <c r="A68" i="84" l="1"/>
  <c r="BN55" i="88"/>
  <c r="Q64" i="88"/>
  <c r="P65" i="88" s="1"/>
  <c r="A69" i="84" l="1"/>
  <c r="BO55" i="88"/>
  <c r="Q65" i="88"/>
  <c r="P66" i="88" s="1"/>
  <c r="A70" i="84" l="1"/>
  <c r="BP55" i="88"/>
  <c r="Q66" i="88"/>
  <c r="P67" i="88" s="1"/>
  <c r="A71" i="84" l="1"/>
  <c r="BQ55" i="88"/>
  <c r="Q67" i="88"/>
  <c r="P68" i="88" s="1"/>
  <c r="A72" i="84" l="1"/>
  <c r="BR55" i="88"/>
  <c r="Q68" i="88"/>
  <c r="P69" i="88" s="1"/>
  <c r="A73" i="84" l="1"/>
  <c r="BS55" i="88"/>
  <c r="Q69" i="88"/>
  <c r="P70" i="88" s="1"/>
  <c r="A74" i="84" l="1"/>
  <c r="BT55" i="88"/>
  <c r="Q70" i="88"/>
  <c r="P71" i="88" s="1"/>
  <c r="A75" i="84" l="1"/>
  <c r="BU55" i="88"/>
  <c r="Q71" i="88"/>
  <c r="P72" i="88" s="1"/>
  <c r="A76" i="84" l="1"/>
  <c r="BV55" i="88"/>
  <c r="Q72" i="88"/>
  <c r="P73" i="88" s="1"/>
  <c r="A77" i="84" l="1"/>
  <c r="BW55" i="88"/>
  <c r="Q73" i="88"/>
  <c r="P74" i="88" s="1"/>
  <c r="BX55" i="88" l="1"/>
  <c r="Q74" i="88"/>
  <c r="P75" i="88" s="1"/>
  <c r="Q75" i="88" s="1"/>
  <c r="P76" i="88" s="1"/>
  <c r="Q76" i="88" s="1"/>
  <c r="P77" i="88" s="1"/>
  <c r="Q77" i="88" s="1"/>
  <c r="P78" i="88" s="1"/>
  <c r="Q78" i="88" s="1"/>
  <c r="P79" i="88" s="1"/>
  <c r="Q79" i="88" s="1"/>
  <c r="P80" i="88" s="1"/>
  <c r="Q80" i="88" s="1"/>
  <c r="P81" i="88" s="1"/>
  <c r="Q81" i="88" s="1"/>
  <c r="P82" i="88" s="1"/>
  <c r="Q82" i="88" s="1"/>
  <c r="P83" i="88" s="1"/>
  <c r="Q83" i="88" l="1"/>
  <c r="P84" i="88" s="1"/>
  <c r="Q84" i="88" s="1"/>
  <c r="P85" i="88" s="1"/>
  <c r="Q85" i="88" s="1"/>
  <c r="P86" i="88" s="1"/>
  <c r="BY55" i="88"/>
  <c r="Q86" i="88" l="1"/>
  <c r="P87" i="88" s="1"/>
  <c r="Q87" i="88" s="1"/>
  <c r="P88" i="88" s="1"/>
  <c r="Q88" i="88" s="1"/>
  <c r="P89" i="88" s="1"/>
  <c r="BZ55" i="88"/>
  <c r="Q89" i="88" l="1"/>
  <c r="P90" i="88" s="1"/>
  <c r="Q90" i="88" s="1"/>
  <c r="CA55" i="88"/>
  <c r="CB55" i="88" l="1"/>
  <c r="CC55" i="88" l="1"/>
  <c r="CD55" i="88" l="1"/>
  <c r="CE55" i="88" l="1"/>
  <c r="AJ14" i="88"/>
  <c r="CB14" i="88" s="1"/>
  <c r="BE14" i="88" s="1"/>
  <c r="S21" i="84" s="1"/>
  <c r="AL12" i="88"/>
  <c r="CD12" i="88" s="1"/>
  <c r="BG12" i="88" s="1"/>
  <c r="U19" i="84" s="1"/>
  <c r="Z24" i="88"/>
  <c r="BR24" i="88" s="1"/>
  <c r="AU24" i="88" s="1"/>
  <c r="I31" i="84" s="1"/>
  <c r="AA23" i="88"/>
  <c r="BS23" i="88" s="1"/>
  <c r="AV23" i="88" s="1"/>
  <c r="J30" i="84" s="1"/>
  <c r="AF18" i="88"/>
  <c r="BX18" i="88" s="1"/>
  <c r="BA18" i="88" s="1"/>
  <c r="O25" i="84" s="1"/>
  <c r="T30" i="88"/>
  <c r="BL30" i="88" s="1"/>
  <c r="AO30" i="88" s="1"/>
  <c r="C37" i="84" s="1"/>
  <c r="C57" i="84" s="1"/>
  <c r="AD20" i="88"/>
  <c r="BV20" i="88" s="1"/>
  <c r="AY20" i="88" s="1"/>
  <c r="M27" i="84" s="1"/>
  <c r="V28" i="88"/>
  <c r="BN28" i="88" s="1"/>
  <c r="AQ28" i="88" s="1"/>
  <c r="E35" i="84" s="1"/>
  <c r="AH16" i="88"/>
  <c r="BZ16" i="88" s="1"/>
  <c r="BC16" i="88" s="1"/>
  <c r="Q23" i="84" s="1"/>
  <c r="U29" i="88"/>
  <c r="BM29" i="88" s="1"/>
  <c r="AP29" i="88" s="1"/>
  <c r="D36" i="84" s="1"/>
  <c r="AI15" i="88"/>
  <c r="CA15" i="88" s="1"/>
  <c r="BD15" i="88" s="1"/>
  <c r="R22" i="84" s="1"/>
  <c r="Y25" i="88"/>
  <c r="BQ25" i="88" s="1"/>
  <c r="AT25" i="88" s="1"/>
  <c r="H32" i="84" s="1"/>
  <c r="AG17" i="88"/>
  <c r="BY17" i="88" s="1"/>
  <c r="BB17" i="88" s="1"/>
  <c r="P24" i="84" s="1"/>
  <c r="AE19" i="88"/>
  <c r="BW19" i="88" s="1"/>
  <c r="AZ19" i="88" s="1"/>
  <c r="N26" i="84" s="1"/>
  <c r="W27" i="88"/>
  <c r="BO27" i="88" s="1"/>
  <c r="AR27" i="88" s="1"/>
  <c r="F34" i="84" s="1"/>
  <c r="AM11" i="88"/>
  <c r="CE11" i="88" s="1"/>
  <c r="BH11" i="88" s="1"/>
  <c r="V18" i="84" s="1"/>
  <c r="AK13" i="88"/>
  <c r="CC13" i="88" s="1"/>
  <c r="BF13" i="88" s="1"/>
  <c r="T20" i="84" s="1"/>
  <c r="AB22" i="88"/>
  <c r="BT22" i="88" s="1"/>
  <c r="AW22" i="88" s="1"/>
  <c r="K29" i="84" s="1"/>
  <c r="X26" i="88"/>
  <c r="BP26" i="88" s="1"/>
  <c r="AS26" i="88" s="1"/>
  <c r="G33" i="84" s="1"/>
  <c r="AC21" i="88"/>
  <c r="BU21" i="88" s="1"/>
  <c r="AX21" i="88" s="1"/>
  <c r="L28" i="84" s="1"/>
  <c r="AJ16" i="88"/>
  <c r="CB16" i="88" s="1"/>
  <c r="C53" i="84" l="1"/>
  <c r="C49" i="84"/>
  <c r="C45" i="84"/>
  <c r="C41" i="84"/>
  <c r="C54" i="84"/>
  <c r="C50" i="84"/>
  <c r="C46" i="84"/>
  <c r="C42" i="84"/>
  <c r="C38" i="84"/>
  <c r="C75" i="84"/>
  <c r="C71" i="84"/>
  <c r="C67" i="84"/>
  <c r="C59" i="84"/>
  <c r="C55" i="84"/>
  <c r="C47" i="84"/>
  <c r="C39" i="84"/>
  <c r="C58" i="84"/>
  <c r="C44" i="84"/>
  <c r="C74" i="84"/>
  <c r="C62" i="84"/>
  <c r="C56" i="84"/>
  <c r="C48" i="84"/>
  <c r="C40" i="84"/>
  <c r="C70" i="84"/>
  <c r="C63" i="84"/>
  <c r="C51" i="84"/>
  <c r="C43" i="84"/>
  <c r="C66" i="84"/>
  <c r="C52" i="84"/>
  <c r="C60" i="84"/>
  <c r="C76" i="84"/>
  <c r="C73" i="84"/>
  <c r="C69" i="84"/>
  <c r="C68" i="84"/>
  <c r="C64" i="84"/>
  <c r="C61" i="84"/>
  <c r="C72" i="84"/>
  <c r="C65" i="84"/>
  <c r="Z25" i="88"/>
  <c r="BR25" i="88" s="1"/>
  <c r="AU25" i="88" s="1"/>
  <c r="I32" i="84" s="1"/>
  <c r="AG18" i="88"/>
  <c r="BY18" i="88" s="1"/>
  <c r="BB18" i="88" s="1"/>
  <c r="P25" i="84" s="1"/>
  <c r="U30" i="88"/>
  <c r="BM30" i="88" s="1"/>
  <c r="AP30" i="88" s="1"/>
  <c r="D37" i="84" s="1"/>
  <c r="D57" i="84" s="1"/>
  <c r="AC22" i="88"/>
  <c r="BU22" i="88" s="1"/>
  <c r="AX22" i="88" s="1"/>
  <c r="L29" i="84" s="1"/>
  <c r="Y26" i="88"/>
  <c r="BQ26" i="88" s="1"/>
  <c r="AT26" i="88" s="1"/>
  <c r="H33" i="84" s="1"/>
  <c r="AF19" i="88"/>
  <c r="BX19" i="88" s="1"/>
  <c r="BA19" i="88" s="1"/>
  <c r="O26" i="84" s="1"/>
  <c r="V29" i="88"/>
  <c r="BN29" i="88" s="1"/>
  <c r="AQ29" i="88" s="1"/>
  <c r="E36" i="84" s="1"/>
  <c r="AI16" i="88"/>
  <c r="CA16" i="88" s="1"/>
  <c r="BD16" i="88" s="1"/>
  <c r="R23" i="84" s="1"/>
  <c r="AK14" i="88"/>
  <c r="CC14" i="88" s="1"/>
  <c r="BF14" i="88" s="1"/>
  <c r="T21" i="84" s="1"/>
  <c r="X27" i="88"/>
  <c r="BP27" i="88" s="1"/>
  <c r="AS27" i="88" s="1"/>
  <c r="G34" i="84" s="1"/>
  <c r="AA24" i="88"/>
  <c r="BS24" i="88" s="1"/>
  <c r="AV24" i="88" s="1"/>
  <c r="J31" i="84" s="1"/>
  <c r="AJ15" i="88"/>
  <c r="CB15" i="88" s="1"/>
  <c r="BE15" i="88" s="1"/>
  <c r="S22" i="84" s="1"/>
  <c r="T31" i="88"/>
  <c r="BL31" i="88" s="1"/>
  <c r="AO31" i="88" s="1"/>
  <c r="AH17" i="88"/>
  <c r="BZ17" i="88" s="1"/>
  <c r="BC17" i="88" s="1"/>
  <c r="Q24" i="84" s="1"/>
  <c r="AM12" i="88"/>
  <c r="CE12" i="88" s="1"/>
  <c r="BH12" i="88" s="1"/>
  <c r="V19" i="84" s="1"/>
  <c r="AE20" i="88"/>
  <c r="BW20" i="88" s="1"/>
  <c r="AZ20" i="88" s="1"/>
  <c r="N27" i="84" s="1"/>
  <c r="AD21" i="88"/>
  <c r="BV21" i="88" s="1"/>
  <c r="AY21" i="88" s="1"/>
  <c r="M28" i="84" s="1"/>
  <c r="W28" i="88"/>
  <c r="BO28" i="88" s="1"/>
  <c r="AR28" i="88" s="1"/>
  <c r="F35" i="84" s="1"/>
  <c r="AB23" i="88"/>
  <c r="BT23" i="88" s="1"/>
  <c r="AW23" i="88" s="1"/>
  <c r="K30" i="84" s="1"/>
  <c r="AG19" i="88"/>
  <c r="BY19" i="88" s="1"/>
  <c r="AD22" i="88"/>
  <c r="BV22" i="88" s="1"/>
  <c r="T32" i="88"/>
  <c r="BL32" i="88" s="1"/>
  <c r="AO32" i="88" s="1"/>
  <c r="AB24" i="88"/>
  <c r="BT24" i="88" s="1"/>
  <c r="AW24" i="88" s="1"/>
  <c r="K31" i="84" s="1"/>
  <c r="AF20" i="88"/>
  <c r="BX20" i="88" s="1"/>
  <c r="BA20" i="88" s="1"/>
  <c r="O27" i="84" s="1"/>
  <c r="AI17" i="88"/>
  <c r="CA17" i="88" s="1"/>
  <c r="AC23" i="88"/>
  <c r="BU23" i="88" s="1"/>
  <c r="X28" i="88"/>
  <c r="BP28" i="88" s="1"/>
  <c r="AE21" i="88"/>
  <c r="BW21" i="88" s="1"/>
  <c r="AA25" i="88"/>
  <c r="BS25" i="88" s="1"/>
  <c r="AV25" i="88" s="1"/>
  <c r="J32" i="84" s="1"/>
  <c r="AK15" i="88"/>
  <c r="CC15" i="88" s="1"/>
  <c r="V30" i="88"/>
  <c r="BN30" i="88" s="1"/>
  <c r="AQ30" i="88" s="1"/>
  <c r="E37" i="84" s="1"/>
  <c r="E57" i="84" s="1"/>
  <c r="U31" i="88"/>
  <c r="BM31" i="88" s="1"/>
  <c r="Z26" i="88"/>
  <c r="BR26" i="88" s="1"/>
  <c r="AU26" i="88" s="1"/>
  <c r="I33" i="84" s="1"/>
  <c r="AL14" i="88"/>
  <c r="CD14" i="88" s="1"/>
  <c r="AH18" i="88"/>
  <c r="BZ18" i="88" s="1"/>
  <c r="AM13" i="88"/>
  <c r="CE13" i="88" s="1"/>
  <c r="W29" i="88"/>
  <c r="BO29" i="88" s="1"/>
  <c r="AL13" i="88"/>
  <c r="CD13" i="88" s="1"/>
  <c r="BG13" i="88" s="1"/>
  <c r="U20" i="84" s="1"/>
  <c r="Y27" i="88"/>
  <c r="BQ27" i="88" s="1"/>
  <c r="E67" i="84" l="1"/>
  <c r="E51" i="84"/>
  <c r="E74" i="84"/>
  <c r="E58" i="84"/>
  <c r="E44" i="84"/>
  <c r="E64" i="84"/>
  <c r="E60" i="84"/>
  <c r="E71" i="84"/>
  <c r="E62" i="84"/>
  <c r="E49" i="84"/>
  <c r="E54" i="84"/>
  <c r="E63" i="84"/>
  <c r="E47" i="84"/>
  <c r="E70" i="84"/>
  <c r="E56" i="84"/>
  <c r="E40" i="84"/>
  <c r="E38" i="84"/>
  <c r="E53" i="84"/>
  <c r="E72" i="84"/>
  <c r="E45" i="84"/>
  <c r="E55" i="84"/>
  <c r="E39" i="84"/>
  <c r="E48" i="84"/>
  <c r="E69" i="84"/>
  <c r="E65" i="84"/>
  <c r="E68" i="84"/>
  <c r="E46" i="84"/>
  <c r="E52" i="84"/>
  <c r="E41" i="84"/>
  <c r="E43" i="84"/>
  <c r="E61" i="84"/>
  <c r="E59" i="84"/>
  <c r="E73" i="84"/>
  <c r="E50" i="84"/>
  <c r="E76" i="84"/>
  <c r="E75" i="84"/>
  <c r="E42" i="84"/>
  <c r="E66" i="84"/>
  <c r="D62" i="84"/>
  <c r="D48" i="84"/>
  <c r="D69" i="84"/>
  <c r="D49" i="84"/>
  <c r="D72" i="84"/>
  <c r="D50" i="84"/>
  <c r="D59" i="84"/>
  <c r="D60" i="84"/>
  <c r="D71" i="84"/>
  <c r="D66" i="84"/>
  <c r="D73" i="84"/>
  <c r="D76" i="84"/>
  <c r="D39" i="84"/>
  <c r="D38" i="84"/>
  <c r="D70" i="84"/>
  <c r="D40" i="84"/>
  <c r="D41" i="84"/>
  <c r="D63" i="84"/>
  <c r="D46" i="84"/>
  <c r="D74" i="84"/>
  <c r="D58" i="84"/>
  <c r="D44" i="84"/>
  <c r="D65" i="84"/>
  <c r="D45" i="84"/>
  <c r="D68" i="84"/>
  <c r="D42" i="84"/>
  <c r="D51" i="84"/>
  <c r="D54" i="84"/>
  <c r="D55" i="84"/>
  <c r="D52" i="84"/>
  <c r="D53" i="84"/>
  <c r="D64" i="84"/>
  <c r="D75" i="84"/>
  <c r="D56" i="84"/>
  <c r="D61" i="84"/>
  <c r="D67" i="84"/>
  <c r="D43" i="84"/>
  <c r="D47" i="84"/>
  <c r="AR29" i="88"/>
  <c r="F36" i="84" s="1"/>
  <c r="AX23" i="88"/>
  <c r="L30" i="84" s="1"/>
  <c r="AP31" i="88"/>
  <c r="AZ21" i="88"/>
  <c r="N28" i="84" s="1"/>
  <c r="AY22" i="88"/>
  <c r="M29" i="84" s="1"/>
  <c r="BG14" i="88"/>
  <c r="U21" i="84" s="1"/>
  <c r="BF15" i="88"/>
  <c r="T22" i="84" s="1"/>
  <c r="BE16" i="88"/>
  <c r="S23" i="84" s="1"/>
  <c r="AG20" i="88"/>
  <c r="BY20" i="88" s="1"/>
  <c r="BB20" i="88" s="1"/>
  <c r="P27" i="84" s="1"/>
  <c r="U32" i="88"/>
  <c r="BM32" i="88" s="1"/>
  <c r="AP32" i="88" s="1"/>
  <c r="Z27" i="88"/>
  <c r="BR27" i="88" s="1"/>
  <c r="AU27" i="88" s="1"/>
  <c r="I34" i="84" s="1"/>
  <c r="AJ17" i="88"/>
  <c r="CB17" i="88" s="1"/>
  <c r="BE17" i="88" s="1"/>
  <c r="S24" i="84" s="1"/>
  <c r="AC24" i="88"/>
  <c r="BU24" i="88" s="1"/>
  <c r="AX24" i="88" s="1"/>
  <c r="L31" i="84" s="1"/>
  <c r="Y28" i="88"/>
  <c r="BQ28" i="88" s="1"/>
  <c r="AT28" i="88" s="1"/>
  <c r="H35" i="84" s="1"/>
  <c r="AB25" i="88"/>
  <c r="BT25" i="88" s="1"/>
  <c r="AW25" i="88" s="1"/>
  <c r="K32" i="84" s="1"/>
  <c r="AE22" i="88"/>
  <c r="BW22" i="88" s="1"/>
  <c r="AZ22" i="88" s="1"/>
  <c r="N29" i="84" s="1"/>
  <c r="AH19" i="88"/>
  <c r="BZ19" i="88" s="1"/>
  <c r="BC19" i="88" s="1"/>
  <c r="Q26" i="84" s="1"/>
  <c r="AA26" i="88"/>
  <c r="BS26" i="88" s="1"/>
  <c r="AV26" i="88" s="1"/>
  <c r="J33" i="84" s="1"/>
  <c r="AD23" i="88"/>
  <c r="BV23" i="88" s="1"/>
  <c r="AY23" i="88" s="1"/>
  <c r="M30" i="84" s="1"/>
  <c r="AI18" i="88"/>
  <c r="CA18" i="88" s="1"/>
  <c r="BD18" i="88" s="1"/>
  <c r="R25" i="84" s="1"/>
  <c r="V31" i="88"/>
  <c r="BN31" i="88" s="1"/>
  <c r="AQ31" i="88" s="1"/>
  <c r="X29" i="88"/>
  <c r="BP29" i="88" s="1"/>
  <c r="AS29" i="88" s="1"/>
  <c r="G36" i="84" s="1"/>
  <c r="AM14" i="88"/>
  <c r="CE14" i="88" s="1"/>
  <c r="BH14" i="88" s="1"/>
  <c r="V21" i="84" s="1"/>
  <c r="AF21" i="88"/>
  <c r="BX21" i="88" s="1"/>
  <c r="BA21" i="88" s="1"/>
  <c r="O28" i="84" s="1"/>
  <c r="W30" i="88"/>
  <c r="BO30" i="88" s="1"/>
  <c r="AR30" i="88" s="1"/>
  <c r="F37" i="84" s="1"/>
  <c r="F57" i="84" s="1"/>
  <c r="AL15" i="88"/>
  <c r="CD15" i="88" s="1"/>
  <c r="BG15" i="88" s="1"/>
  <c r="U22" i="84" s="1"/>
  <c r="T33" i="88"/>
  <c r="BL33" i="88" s="1"/>
  <c r="AO33" i="88" s="1"/>
  <c r="AK16" i="88"/>
  <c r="CC16" i="88" s="1"/>
  <c r="BF16" i="88" s="1"/>
  <c r="T23" i="84" s="1"/>
  <c r="AS28" i="88"/>
  <c r="G35" i="84" s="1"/>
  <c r="AT27" i="88"/>
  <c r="H34" i="84" s="1"/>
  <c r="BH13" i="88"/>
  <c r="V20" i="84" s="1"/>
  <c r="BD17" i="88"/>
  <c r="R24" i="84" s="1"/>
  <c r="BC18" i="88"/>
  <c r="Q25" i="84" s="1"/>
  <c r="BB19" i="88"/>
  <c r="P26" i="84" s="1"/>
  <c r="F44" i="84" l="1"/>
  <c r="F65" i="84"/>
  <c r="F41" i="84"/>
  <c r="F54" i="84"/>
  <c r="F63" i="84"/>
  <c r="F70" i="84"/>
  <c r="F68" i="84"/>
  <c r="F43" i="84"/>
  <c r="F56" i="84"/>
  <c r="F52" i="84"/>
  <c r="F62" i="84"/>
  <c r="F69" i="84"/>
  <c r="F50" i="84"/>
  <c r="F59" i="84"/>
  <c r="F66" i="84"/>
  <c r="F61" i="84"/>
  <c r="F75" i="84"/>
  <c r="F72" i="84"/>
  <c r="F47" i="84"/>
  <c r="F38" i="84"/>
  <c r="F58" i="84"/>
  <c r="F51" i="84"/>
  <c r="F76" i="84"/>
  <c r="F73" i="84"/>
  <c r="F71" i="84"/>
  <c r="F60" i="84"/>
  <c r="F55" i="84"/>
  <c r="F42" i="84"/>
  <c r="F45" i="84"/>
  <c r="F39" i="84"/>
  <c r="F64" i="84"/>
  <c r="F48" i="84"/>
  <c r="F67" i="84"/>
  <c r="F53" i="84"/>
  <c r="F46" i="84"/>
  <c r="F49" i="84"/>
  <c r="F74" i="84"/>
  <c r="F40" i="84"/>
  <c r="AF22" i="88"/>
  <c r="BX22" i="88" s="1"/>
  <c r="BA22" i="88" s="1"/>
  <c r="O29" i="84" s="1"/>
  <c r="AL16" i="88"/>
  <c r="CD16" i="88" s="1"/>
  <c r="BG16" i="88" s="1"/>
  <c r="U23" i="84" s="1"/>
  <c r="AK17" i="88"/>
  <c r="CC17" i="88" s="1"/>
  <c r="BF17" i="88" s="1"/>
  <c r="T24" i="84" s="1"/>
  <c r="AB26" i="88"/>
  <c r="BT26" i="88" s="1"/>
  <c r="AW26" i="88" s="1"/>
  <c r="K33" i="84" s="1"/>
  <c r="AC25" i="88"/>
  <c r="BU25" i="88" s="1"/>
  <c r="AX25" i="88" s="1"/>
  <c r="L32" i="84" s="1"/>
  <c r="AH20" i="88"/>
  <c r="BZ20" i="88" s="1"/>
  <c r="BC20" i="88" s="1"/>
  <c r="Q27" i="84" s="1"/>
  <c r="U33" i="88"/>
  <c r="BM33" i="88" s="1"/>
  <c r="AP33" i="88" s="1"/>
  <c r="Y29" i="88"/>
  <c r="BQ29" i="88" s="1"/>
  <c r="AT29" i="88" s="1"/>
  <c r="H36" i="84" s="1"/>
  <c r="X30" i="88"/>
  <c r="BP30" i="88" s="1"/>
  <c r="AS30" i="88" s="1"/>
  <c r="G37" i="84" s="1"/>
  <c r="G57" i="84" s="1"/>
  <c r="AA27" i="88"/>
  <c r="BS27" i="88" s="1"/>
  <c r="AV27" i="88" s="1"/>
  <c r="J34" i="84" s="1"/>
  <c r="AG21" i="88"/>
  <c r="BY21" i="88" s="1"/>
  <c r="BB21" i="88" s="1"/>
  <c r="P28" i="84" s="1"/>
  <c r="V32" i="88"/>
  <c r="BN32" i="88" s="1"/>
  <c r="AQ32" i="88" s="1"/>
  <c r="W31" i="88"/>
  <c r="BO31" i="88" s="1"/>
  <c r="AR31" i="88" s="1"/>
  <c r="AD24" i="88"/>
  <c r="BV24" i="88" s="1"/>
  <c r="AY24" i="88" s="1"/>
  <c r="M31" i="84" s="1"/>
  <c r="T34" i="88"/>
  <c r="BL34" i="88" s="1"/>
  <c r="AO34" i="88" s="1"/>
  <c r="AM15" i="88"/>
  <c r="CE15" i="88" s="1"/>
  <c r="BH15" i="88" s="1"/>
  <c r="V22" i="84" s="1"/>
  <c r="Z28" i="88"/>
  <c r="BR28" i="88" s="1"/>
  <c r="AU28" i="88" s="1"/>
  <c r="I35" i="84" s="1"/>
  <c r="AJ18" i="88"/>
  <c r="CB18" i="88" s="1"/>
  <c r="BE18" i="88" s="1"/>
  <c r="S25" i="84" s="1"/>
  <c r="AE23" i="88"/>
  <c r="BW23" i="88" s="1"/>
  <c r="AZ23" i="88" s="1"/>
  <c r="N30" i="84" s="1"/>
  <c r="AI19" i="88"/>
  <c r="CA19" i="88" s="1"/>
  <c r="BD19" i="88" s="1"/>
  <c r="R26" i="84" s="1"/>
  <c r="G70" i="84" l="1"/>
  <c r="G69" i="84"/>
  <c r="G49" i="84"/>
  <c r="G72" i="84"/>
  <c r="G54" i="84"/>
  <c r="G38" i="84"/>
  <c r="G55" i="84"/>
  <c r="G59" i="84"/>
  <c r="G58" i="84"/>
  <c r="G40" i="84"/>
  <c r="G73" i="84"/>
  <c r="G60" i="84"/>
  <c r="G67" i="84"/>
  <c r="G74" i="84"/>
  <c r="G56" i="84"/>
  <c r="G65" i="84"/>
  <c r="G45" i="84"/>
  <c r="G68" i="84"/>
  <c r="G50" i="84"/>
  <c r="G75" i="84"/>
  <c r="G43" i="84"/>
  <c r="G63" i="84"/>
  <c r="G66" i="84"/>
  <c r="G62" i="84"/>
  <c r="G53" i="84"/>
  <c r="G76" i="84"/>
  <c r="G42" i="84"/>
  <c r="G47" i="84"/>
  <c r="G52" i="84"/>
  <c r="G48" i="84"/>
  <c r="G61" i="84"/>
  <c r="G44" i="84"/>
  <c r="G46" i="84"/>
  <c r="G64" i="84"/>
  <c r="G41" i="84"/>
  <c r="G71" i="84"/>
  <c r="G51" i="84"/>
  <c r="G39" i="84"/>
  <c r="U34" i="88"/>
  <c r="BM34" i="88" s="1"/>
  <c r="AP34" i="88" s="1"/>
  <c r="AA28" i="88"/>
  <c r="BS28" i="88" s="1"/>
  <c r="AV28" i="88" s="1"/>
  <c r="J35" i="84" s="1"/>
  <c r="Z29" i="88"/>
  <c r="BR29" i="88" s="1"/>
  <c r="AU29" i="88" s="1"/>
  <c r="I36" i="84" s="1"/>
  <c r="V33" i="88"/>
  <c r="BN33" i="88" s="1"/>
  <c r="AQ33" i="88" s="1"/>
  <c r="AM16" i="88"/>
  <c r="CE16" i="88" s="1"/>
  <c r="BH16" i="88" s="1"/>
  <c r="V23" i="84" s="1"/>
  <c r="Y30" i="88"/>
  <c r="BQ30" i="88" s="1"/>
  <c r="AT30" i="88" s="1"/>
  <c r="H37" i="84" s="1"/>
  <c r="H57" i="84" s="1"/>
  <c r="AJ19" i="88"/>
  <c r="CB19" i="88" s="1"/>
  <c r="BE19" i="88" s="1"/>
  <c r="S26" i="84" s="1"/>
  <c r="T35" i="88"/>
  <c r="BL35" i="88" s="1"/>
  <c r="AO35" i="88" s="1"/>
  <c r="AE24" i="88"/>
  <c r="BW24" i="88" s="1"/>
  <c r="AZ24" i="88" s="1"/>
  <c r="N31" i="84" s="1"/>
  <c r="W32" i="88"/>
  <c r="BO32" i="88" s="1"/>
  <c r="AR32" i="88" s="1"/>
  <c r="AI20" i="88"/>
  <c r="CA20" i="88" s="1"/>
  <c r="BD20" i="88" s="1"/>
  <c r="R27" i="84" s="1"/>
  <c r="X31" i="88"/>
  <c r="BP31" i="88" s="1"/>
  <c r="AS31" i="88" s="1"/>
  <c r="AF23" i="88"/>
  <c r="BX23" i="88" s="1"/>
  <c r="BA23" i="88" s="1"/>
  <c r="O30" i="84" s="1"/>
  <c r="AL17" i="88"/>
  <c r="CD17" i="88" s="1"/>
  <c r="BG17" i="88" s="1"/>
  <c r="U24" i="84" s="1"/>
  <c r="AG22" i="88"/>
  <c r="BY22" i="88" s="1"/>
  <c r="BB22" i="88" s="1"/>
  <c r="P29" i="84" s="1"/>
  <c r="AB27" i="88"/>
  <c r="BT27" i="88" s="1"/>
  <c r="AW27" i="88" s="1"/>
  <c r="K34" i="84" s="1"/>
  <c r="AC26" i="88"/>
  <c r="BU26" i="88" s="1"/>
  <c r="AX26" i="88" s="1"/>
  <c r="L33" i="84" s="1"/>
  <c r="AH21" i="88"/>
  <c r="BZ21" i="88" s="1"/>
  <c r="BC21" i="88" s="1"/>
  <c r="Q28" i="84" s="1"/>
  <c r="AK18" i="88"/>
  <c r="CC18" i="88" s="1"/>
  <c r="BF18" i="88" s="1"/>
  <c r="T25" i="84" s="1"/>
  <c r="AD25" i="88"/>
  <c r="BV25" i="88" s="1"/>
  <c r="AY25" i="88" s="1"/>
  <c r="M32" i="84" s="1"/>
  <c r="H70" i="84" l="1"/>
  <c r="H56" i="84"/>
  <c r="H40" i="84"/>
  <c r="H61" i="84"/>
  <c r="H41" i="84"/>
  <c r="H71" i="84"/>
  <c r="H38" i="84"/>
  <c r="H63" i="84"/>
  <c r="H64" i="84"/>
  <c r="H43" i="84"/>
  <c r="H74" i="84"/>
  <c r="H44" i="84"/>
  <c r="H45" i="84"/>
  <c r="H46" i="84"/>
  <c r="H39" i="84"/>
  <c r="H62" i="84"/>
  <c r="H49" i="84"/>
  <c r="H54" i="84"/>
  <c r="H47" i="84"/>
  <c r="H66" i="84"/>
  <c r="H52" i="84"/>
  <c r="H73" i="84"/>
  <c r="H53" i="84"/>
  <c r="H76" i="84"/>
  <c r="H60" i="84"/>
  <c r="H59" i="84"/>
  <c r="H55" i="84"/>
  <c r="H50" i="84"/>
  <c r="H58" i="84"/>
  <c r="H65" i="84"/>
  <c r="H68" i="84"/>
  <c r="H67" i="84"/>
  <c r="H75" i="84"/>
  <c r="H48" i="84"/>
  <c r="H69" i="84"/>
  <c r="H72" i="84"/>
  <c r="H51" i="84"/>
  <c r="H42" i="84"/>
  <c r="V34" i="88"/>
  <c r="BN34" i="88" s="1"/>
  <c r="AQ34" i="88" s="1"/>
  <c r="T36" i="88"/>
  <c r="BL36" i="88" s="1"/>
  <c r="AO36" i="88" s="1"/>
  <c r="AG23" i="88"/>
  <c r="BY23" i="88" s="1"/>
  <c r="BB23" i="88" s="1"/>
  <c r="P30" i="84" s="1"/>
  <c r="W33" i="88"/>
  <c r="BO33" i="88" s="1"/>
  <c r="AR33" i="88" s="1"/>
  <c r="Y31" i="88"/>
  <c r="BQ31" i="88" s="1"/>
  <c r="AT31" i="88" s="1"/>
  <c r="AH22" i="88"/>
  <c r="BZ22" i="88" s="1"/>
  <c r="BC22" i="88" s="1"/>
  <c r="Q29" i="84" s="1"/>
  <c r="AI21" i="88"/>
  <c r="CA21" i="88" s="1"/>
  <c r="BD21" i="88" s="1"/>
  <c r="R28" i="84" s="1"/>
  <c r="AL18" i="88"/>
  <c r="CD18" i="88" s="1"/>
  <c r="BG18" i="88" s="1"/>
  <c r="U25" i="84" s="1"/>
  <c r="AB28" i="88"/>
  <c r="BT28" i="88" s="1"/>
  <c r="AW28" i="88" s="1"/>
  <c r="K35" i="84" s="1"/>
  <c r="AA29" i="88"/>
  <c r="BS29" i="88" s="1"/>
  <c r="AV29" i="88" s="1"/>
  <c r="J36" i="84" s="1"/>
  <c r="Z30" i="88"/>
  <c r="BR30" i="88" s="1"/>
  <c r="AU30" i="88" s="1"/>
  <c r="I37" i="84" s="1"/>
  <c r="I57" i="84" s="1"/>
  <c r="AK19" i="88"/>
  <c r="CC19" i="88" s="1"/>
  <c r="BF19" i="88" s="1"/>
  <c r="T26" i="84" s="1"/>
  <c r="AC27" i="88"/>
  <c r="BU27" i="88" s="1"/>
  <c r="AX27" i="88" s="1"/>
  <c r="L34" i="84" s="1"/>
  <c r="X32" i="88"/>
  <c r="BP32" i="88" s="1"/>
  <c r="AS32" i="88" s="1"/>
  <c r="AE25" i="88"/>
  <c r="BW25" i="88" s="1"/>
  <c r="AZ25" i="88" s="1"/>
  <c r="N32" i="84" s="1"/>
  <c r="U35" i="88"/>
  <c r="BM35" i="88" s="1"/>
  <c r="AP35" i="88" s="1"/>
  <c r="AD26" i="88"/>
  <c r="BV26" i="88" s="1"/>
  <c r="AY26" i="88" s="1"/>
  <c r="M33" i="84" s="1"/>
  <c r="AM17" i="88"/>
  <c r="CE17" i="88" s="1"/>
  <c r="BH17" i="88" s="1"/>
  <c r="V24" i="84" s="1"/>
  <c r="AF24" i="88"/>
  <c r="BX24" i="88" s="1"/>
  <c r="BA24" i="88" s="1"/>
  <c r="O31" i="84" s="1"/>
  <c r="AJ20" i="88"/>
  <c r="CB20" i="88" s="1"/>
  <c r="BE20" i="88" s="1"/>
  <c r="S27" i="84" s="1"/>
  <c r="I71" i="84" l="1"/>
  <c r="I55" i="84"/>
  <c r="I39" i="84"/>
  <c r="I62" i="84"/>
  <c r="I48" i="84"/>
  <c r="I69" i="84"/>
  <c r="I41" i="84"/>
  <c r="I60" i="84"/>
  <c r="I61" i="84"/>
  <c r="I46" i="84"/>
  <c r="I75" i="84"/>
  <c r="I43" i="84"/>
  <c r="I52" i="84"/>
  <c r="I49" i="84"/>
  <c r="I72" i="84"/>
  <c r="I64" i="84"/>
  <c r="I67" i="84"/>
  <c r="I51" i="84"/>
  <c r="I74" i="84"/>
  <c r="I58" i="84"/>
  <c r="I44" i="84"/>
  <c r="I65" i="84"/>
  <c r="I54" i="84"/>
  <c r="I50" i="84"/>
  <c r="I53" i="84"/>
  <c r="I59" i="84"/>
  <c r="I66" i="84"/>
  <c r="I73" i="84"/>
  <c r="I68" i="84"/>
  <c r="I42" i="84"/>
  <c r="I70" i="84"/>
  <c r="I47" i="84"/>
  <c r="I63" i="84"/>
  <c r="I40" i="84"/>
  <c r="I45" i="84"/>
  <c r="I56" i="84"/>
  <c r="I38" i="84"/>
  <c r="I76" i="84"/>
  <c r="AH23" i="88"/>
  <c r="BZ23" i="88" s="1"/>
  <c r="BC23" i="88" s="1"/>
  <c r="Q30" i="84" s="1"/>
  <c r="U36" i="88"/>
  <c r="BM36" i="88" s="1"/>
  <c r="AP36" i="88" s="1"/>
  <c r="AE26" i="88"/>
  <c r="BW26" i="88" s="1"/>
  <c r="AZ26" i="88" s="1"/>
  <c r="N33" i="84" s="1"/>
  <c r="AL19" i="88"/>
  <c r="CD19" i="88" s="1"/>
  <c r="BG19" i="88" s="1"/>
  <c r="U26" i="84" s="1"/>
  <c r="V35" i="88"/>
  <c r="BN35" i="88" s="1"/>
  <c r="AQ35" i="88" s="1"/>
  <c r="AB29" i="88"/>
  <c r="BT29" i="88" s="1"/>
  <c r="AW29" i="88" s="1"/>
  <c r="K36" i="84" s="1"/>
  <c r="Z31" i="88"/>
  <c r="BR31" i="88" s="1"/>
  <c r="AU31" i="88" s="1"/>
  <c r="AK20" i="88"/>
  <c r="CC20" i="88" s="1"/>
  <c r="BF20" i="88" s="1"/>
  <c r="T27" i="84" s="1"/>
  <c r="AG24" i="88"/>
  <c r="BY24" i="88" s="1"/>
  <c r="BB24" i="88" s="1"/>
  <c r="P31" i="84" s="1"/>
  <c r="AM18" i="88"/>
  <c r="CE18" i="88" s="1"/>
  <c r="BH18" i="88" s="1"/>
  <c r="V25" i="84" s="1"/>
  <c r="W34" i="88"/>
  <c r="BO34" i="88" s="1"/>
  <c r="AR34" i="88" s="1"/>
  <c r="T37" i="88"/>
  <c r="BL37" i="88" s="1"/>
  <c r="AO37" i="88" s="1"/>
  <c r="AA30" i="88"/>
  <c r="BS30" i="88" s="1"/>
  <c r="AV30" i="88" s="1"/>
  <c r="J37" i="84" s="1"/>
  <c r="J57" i="84" s="1"/>
  <c r="AF25" i="88"/>
  <c r="BX25" i="88" s="1"/>
  <c r="BA25" i="88" s="1"/>
  <c r="O32" i="84" s="1"/>
  <c r="AD27" i="88"/>
  <c r="BV27" i="88" s="1"/>
  <c r="AY27" i="88" s="1"/>
  <c r="M34" i="84" s="1"/>
  <c r="Y32" i="88"/>
  <c r="BQ32" i="88" s="1"/>
  <c r="AT32" i="88" s="1"/>
  <c r="AC28" i="88"/>
  <c r="BU28" i="88" s="1"/>
  <c r="AX28" i="88" s="1"/>
  <c r="L35" i="84" s="1"/>
  <c r="X33" i="88"/>
  <c r="BP33" i="88" s="1"/>
  <c r="AS33" i="88" s="1"/>
  <c r="AI22" i="88"/>
  <c r="CA22" i="88" s="1"/>
  <c r="BD22" i="88" s="1"/>
  <c r="R29" i="84" s="1"/>
  <c r="AJ21" i="88"/>
  <c r="CB21" i="88" s="1"/>
  <c r="BE21" i="88" s="1"/>
  <c r="S28" i="84" s="1"/>
  <c r="J41" i="84" l="1"/>
  <c r="J49" i="84"/>
  <c r="J69" i="84"/>
  <c r="J64" i="84"/>
  <c r="J46" i="84"/>
  <c r="J71" i="84"/>
  <c r="J55" i="84"/>
  <c r="J39" i="84"/>
  <c r="J45" i="84"/>
  <c r="J52" i="84"/>
  <c r="J56" i="84"/>
  <c r="J68" i="84"/>
  <c r="J75" i="84"/>
  <c r="J43" i="84"/>
  <c r="J73" i="84"/>
  <c r="J48" i="84"/>
  <c r="J76" i="84"/>
  <c r="J60" i="84"/>
  <c r="J42" i="84"/>
  <c r="J67" i="84"/>
  <c r="J51" i="84"/>
  <c r="J74" i="84"/>
  <c r="J53" i="84"/>
  <c r="J62" i="84"/>
  <c r="J65" i="84"/>
  <c r="J58" i="84"/>
  <c r="J40" i="84"/>
  <c r="J50" i="84"/>
  <c r="J59" i="84"/>
  <c r="J66" i="84"/>
  <c r="J44" i="84"/>
  <c r="J61" i="84"/>
  <c r="J63" i="84"/>
  <c r="J54" i="84"/>
  <c r="J70" i="84"/>
  <c r="J72" i="84"/>
  <c r="J47" i="84"/>
  <c r="J38" i="84"/>
  <c r="AK21" i="88"/>
  <c r="CC21" i="88" s="1"/>
  <c r="BF21" i="88" s="1"/>
  <c r="T28" i="84" s="1"/>
  <c r="AC29" i="88"/>
  <c r="BU29" i="88" s="1"/>
  <c r="AX29" i="88" s="1"/>
  <c r="L36" i="84" s="1"/>
  <c r="V36" i="88"/>
  <c r="BN36" i="88" s="1"/>
  <c r="AQ36" i="88" s="1"/>
  <c r="AL20" i="88"/>
  <c r="CD20" i="88" s="1"/>
  <c r="BG20" i="88" s="1"/>
  <c r="U27" i="84" s="1"/>
  <c r="AJ22" i="88"/>
  <c r="CB22" i="88" s="1"/>
  <c r="BE22" i="88" s="1"/>
  <c r="S29" i="84" s="1"/>
  <c r="Z32" i="88"/>
  <c r="BR32" i="88" s="1"/>
  <c r="AU32" i="88" s="1"/>
  <c r="AG25" i="88"/>
  <c r="BY25" i="88" s="1"/>
  <c r="BB25" i="88" s="1"/>
  <c r="P32" i="84" s="1"/>
  <c r="AI23" i="88"/>
  <c r="CA23" i="88" s="1"/>
  <c r="BD23" i="88" s="1"/>
  <c r="R30" i="84" s="1"/>
  <c r="AH24" i="88"/>
  <c r="BZ24" i="88" s="1"/>
  <c r="BC24" i="88" s="1"/>
  <c r="Q31" i="84" s="1"/>
  <c r="AD28" i="88"/>
  <c r="BV28" i="88" s="1"/>
  <c r="AY28" i="88" s="1"/>
  <c r="M35" i="84" s="1"/>
  <c r="U37" i="88"/>
  <c r="BM37" i="88" s="1"/>
  <c r="AP37" i="88" s="1"/>
  <c r="AF26" i="88"/>
  <c r="BX26" i="88" s="1"/>
  <c r="BA26" i="88" s="1"/>
  <c r="O33" i="84" s="1"/>
  <c r="AB30" i="88"/>
  <c r="BT30" i="88" s="1"/>
  <c r="AW30" i="88" s="1"/>
  <c r="K37" i="84" s="1"/>
  <c r="K57" i="84" s="1"/>
  <c r="AE27" i="88"/>
  <c r="BW27" i="88" s="1"/>
  <c r="AZ27" i="88" s="1"/>
  <c r="N34" i="84" s="1"/>
  <c r="T38" i="88"/>
  <c r="BL38" i="88" s="1"/>
  <c r="AO38" i="88" s="1"/>
  <c r="AM19" i="88"/>
  <c r="CE19" i="88" s="1"/>
  <c r="BH19" i="88" s="1"/>
  <c r="V26" i="84" s="1"/>
  <c r="X34" i="88"/>
  <c r="BP34" i="88" s="1"/>
  <c r="AS34" i="88" s="1"/>
  <c r="Y33" i="88"/>
  <c r="BQ33" i="88" s="1"/>
  <c r="AT33" i="88" s="1"/>
  <c r="W35" i="88"/>
  <c r="BO35" i="88" s="1"/>
  <c r="AR35" i="88" s="1"/>
  <c r="AA31" i="88"/>
  <c r="BS31" i="88" s="1"/>
  <c r="AV31" i="88" s="1"/>
  <c r="K44" i="84" l="1"/>
  <c r="K51" i="84"/>
  <c r="K63" i="84"/>
  <c r="K73" i="84"/>
  <c r="K53" i="84"/>
  <c r="K76" i="84"/>
  <c r="K60" i="84"/>
  <c r="K42" i="84"/>
  <c r="K67" i="84"/>
  <c r="K70" i="84"/>
  <c r="K61" i="84"/>
  <c r="K64" i="84"/>
  <c r="K71" i="84"/>
  <c r="K56" i="84"/>
  <c r="K43" i="84"/>
  <c r="K69" i="84"/>
  <c r="K49" i="84"/>
  <c r="K72" i="84"/>
  <c r="K54" i="84"/>
  <c r="K38" i="84"/>
  <c r="K40" i="84"/>
  <c r="K62" i="84"/>
  <c r="K47" i="84"/>
  <c r="K39" i="84"/>
  <c r="K74" i="84"/>
  <c r="K52" i="84"/>
  <c r="K41" i="84"/>
  <c r="K46" i="84"/>
  <c r="K59" i="84"/>
  <c r="K58" i="84"/>
  <c r="K65" i="84"/>
  <c r="K68" i="84"/>
  <c r="K45" i="84"/>
  <c r="K75" i="84"/>
  <c r="K66" i="84"/>
  <c r="K50" i="84"/>
  <c r="K48" i="84"/>
  <c r="K55" i="84"/>
  <c r="X35" i="88"/>
  <c r="BP35" i="88" s="1"/>
  <c r="AS35" i="88" s="1"/>
  <c r="AJ23" i="88"/>
  <c r="CB23" i="88" s="1"/>
  <c r="BE23" i="88" s="1"/>
  <c r="S30" i="84" s="1"/>
  <c r="AE28" i="88"/>
  <c r="BW28" i="88" s="1"/>
  <c r="AZ28" i="88" s="1"/>
  <c r="N35" i="84" s="1"/>
  <c r="AB31" i="88"/>
  <c r="BT31" i="88" s="1"/>
  <c r="AW31" i="88" s="1"/>
  <c r="AL21" i="88"/>
  <c r="CD21" i="88" s="1"/>
  <c r="BG21" i="88" s="1"/>
  <c r="U28" i="84" s="1"/>
  <c r="AG26" i="88"/>
  <c r="BY26" i="88" s="1"/>
  <c r="BB26" i="88" s="1"/>
  <c r="P33" i="84" s="1"/>
  <c r="Z33" i="88"/>
  <c r="BR33" i="88" s="1"/>
  <c r="AU33" i="88" s="1"/>
  <c r="AC30" i="88"/>
  <c r="BU30" i="88" s="1"/>
  <c r="AX30" i="88" s="1"/>
  <c r="L37" i="84" s="1"/>
  <c r="L57" i="84" s="1"/>
  <c r="AM20" i="88"/>
  <c r="CE20" i="88" s="1"/>
  <c r="BH20" i="88" s="1"/>
  <c r="V27" i="84" s="1"/>
  <c r="AD29" i="88"/>
  <c r="BV29" i="88" s="1"/>
  <c r="AY29" i="88" s="1"/>
  <c r="M36" i="84" s="1"/>
  <c r="AI24" i="88"/>
  <c r="CA24" i="88" s="1"/>
  <c r="BD24" i="88" s="1"/>
  <c r="R31" i="84" s="1"/>
  <c r="AH25" i="88"/>
  <c r="BZ25" i="88" s="1"/>
  <c r="BC25" i="88" s="1"/>
  <c r="Q32" i="84" s="1"/>
  <c r="W36" i="88"/>
  <c r="BO36" i="88" s="1"/>
  <c r="AR36" i="88" s="1"/>
  <c r="Y34" i="88"/>
  <c r="BQ34" i="88" s="1"/>
  <c r="AT34" i="88" s="1"/>
  <c r="U38" i="88"/>
  <c r="BM38" i="88" s="1"/>
  <c r="AP38" i="88" s="1"/>
  <c r="V37" i="88"/>
  <c r="BN37" i="88" s="1"/>
  <c r="AQ37" i="88" s="1"/>
  <c r="AF27" i="88"/>
  <c r="BX27" i="88" s="1"/>
  <c r="BA27" i="88" s="1"/>
  <c r="O34" i="84" s="1"/>
  <c r="T39" i="88"/>
  <c r="BL39" i="88" s="1"/>
  <c r="AO39" i="88" s="1"/>
  <c r="AK22" i="88"/>
  <c r="CC22" i="88" s="1"/>
  <c r="BF22" i="88" s="1"/>
  <c r="T29" i="84" s="1"/>
  <c r="AA32" i="88"/>
  <c r="BS32" i="88" s="1"/>
  <c r="AV32" i="88" s="1"/>
  <c r="L62" i="84" l="1"/>
  <c r="L48" i="84"/>
  <c r="L69" i="84"/>
  <c r="L49" i="84"/>
  <c r="L72" i="84"/>
  <c r="L50" i="84"/>
  <c r="L59" i="84"/>
  <c r="L60" i="84"/>
  <c r="L63" i="84"/>
  <c r="L52" i="84"/>
  <c r="L53" i="84"/>
  <c r="L64" i="84"/>
  <c r="L67" i="84"/>
  <c r="L43" i="84"/>
  <c r="L74" i="84"/>
  <c r="L58" i="84"/>
  <c r="L44" i="84"/>
  <c r="L65" i="84"/>
  <c r="L45" i="84"/>
  <c r="L68" i="84"/>
  <c r="L42" i="84"/>
  <c r="L51" i="84"/>
  <c r="L54" i="84"/>
  <c r="L55" i="84"/>
  <c r="L66" i="84"/>
  <c r="L73" i="84"/>
  <c r="L76" i="84"/>
  <c r="L71" i="84"/>
  <c r="L38" i="84"/>
  <c r="L70" i="84"/>
  <c r="L56" i="84"/>
  <c r="L40" i="84"/>
  <c r="L61" i="84"/>
  <c r="L41" i="84"/>
  <c r="L75" i="84"/>
  <c r="L47" i="84"/>
  <c r="L46" i="84"/>
  <c r="L39" i="84"/>
  <c r="AB32" i="88"/>
  <c r="BT32" i="88" s="1"/>
  <c r="AW32" i="88" s="1"/>
  <c r="U39" i="88"/>
  <c r="BM39" i="88" s="1"/>
  <c r="AP39" i="88" s="1"/>
  <c r="AA33" i="88"/>
  <c r="BS33" i="88" s="1"/>
  <c r="AV33" i="88" s="1"/>
  <c r="AG27" i="88"/>
  <c r="BY27" i="88" s="1"/>
  <c r="BB27" i="88" s="1"/>
  <c r="P34" i="84" s="1"/>
  <c r="AL22" i="88"/>
  <c r="CD22" i="88" s="1"/>
  <c r="BG22" i="88" s="1"/>
  <c r="U29" i="84" s="1"/>
  <c r="AC31" i="88"/>
  <c r="BU31" i="88" s="1"/>
  <c r="AX31" i="88" s="1"/>
  <c r="AJ24" i="88"/>
  <c r="CB24" i="88" s="1"/>
  <c r="BE24" i="88" s="1"/>
  <c r="S31" i="84" s="1"/>
  <c r="AE29" i="88"/>
  <c r="BW29" i="88" s="1"/>
  <c r="AZ29" i="88" s="1"/>
  <c r="N36" i="84" s="1"/>
  <c r="X36" i="88"/>
  <c r="BP36" i="88" s="1"/>
  <c r="AS36" i="88" s="1"/>
  <c r="W37" i="88"/>
  <c r="BO37" i="88" s="1"/>
  <c r="AR37" i="88" s="1"/>
  <c r="AD30" i="88"/>
  <c r="BV30" i="88" s="1"/>
  <c r="AY30" i="88" s="1"/>
  <c r="M37" i="84" s="1"/>
  <c r="M57" i="84" s="1"/>
  <c r="V38" i="88"/>
  <c r="BN38" i="88" s="1"/>
  <c r="AQ38" i="88" s="1"/>
  <c r="AH26" i="88"/>
  <c r="BZ26" i="88" s="1"/>
  <c r="BC26" i="88" s="1"/>
  <c r="Q33" i="84" s="1"/>
  <c r="T40" i="88"/>
  <c r="BL40" i="88" s="1"/>
  <c r="AO40" i="88" s="1"/>
  <c r="AF28" i="88"/>
  <c r="BX28" i="88" s="1"/>
  <c r="BA28" i="88" s="1"/>
  <c r="O35" i="84" s="1"/>
  <c r="Y35" i="88"/>
  <c r="BQ35" i="88" s="1"/>
  <c r="AT35" i="88" s="1"/>
  <c r="Z34" i="88"/>
  <c r="BR34" i="88" s="1"/>
  <c r="AU34" i="88" s="1"/>
  <c r="AI25" i="88"/>
  <c r="CA25" i="88" s="1"/>
  <c r="BD25" i="88" s="1"/>
  <c r="R32" i="84" s="1"/>
  <c r="AM21" i="88"/>
  <c r="CE21" i="88" s="1"/>
  <c r="BH21" i="88" s="1"/>
  <c r="V28" i="84" s="1"/>
  <c r="AK23" i="88"/>
  <c r="CC23" i="88" s="1"/>
  <c r="BF23" i="88" s="1"/>
  <c r="T30" i="84" s="1"/>
  <c r="M63" i="84" l="1"/>
  <c r="M67" i="84"/>
  <c r="M74" i="84"/>
  <c r="M44" i="84"/>
  <c r="M49" i="84"/>
  <c r="M41" i="84"/>
  <c r="M39" i="84"/>
  <c r="M45" i="84"/>
  <c r="M55" i="84"/>
  <c r="M62" i="84"/>
  <c r="M69" i="84"/>
  <c r="M64" i="84"/>
  <c r="M50" i="84"/>
  <c r="M71" i="84"/>
  <c r="M48" i="84"/>
  <c r="M72" i="84"/>
  <c r="M65" i="84"/>
  <c r="M54" i="84"/>
  <c r="M58" i="84"/>
  <c r="M51" i="84"/>
  <c r="M53" i="84"/>
  <c r="M43" i="84"/>
  <c r="M61" i="84"/>
  <c r="M66" i="84"/>
  <c r="M42" i="84"/>
  <c r="M70" i="84"/>
  <c r="M38" i="84"/>
  <c r="M52" i="84"/>
  <c r="M75" i="84"/>
  <c r="M46" i="84"/>
  <c r="M56" i="84"/>
  <c r="M60" i="84"/>
  <c r="M73" i="84"/>
  <c r="M59" i="84"/>
  <c r="M68" i="84"/>
  <c r="M40" i="84"/>
  <c r="M47" i="84"/>
  <c r="M76" i="84"/>
  <c r="Y36" i="88"/>
  <c r="BQ36" i="88" s="1"/>
  <c r="AT36" i="88" s="1"/>
  <c r="AE30" i="88"/>
  <c r="BW30" i="88" s="1"/>
  <c r="AZ30" i="88" s="1"/>
  <c r="N37" i="84" s="1"/>
  <c r="N57" i="84" s="1"/>
  <c r="X37" i="88"/>
  <c r="BP37" i="88" s="1"/>
  <c r="AS37" i="88" s="1"/>
  <c r="AI26" i="88"/>
  <c r="CA26" i="88" s="1"/>
  <c r="BD26" i="88" s="1"/>
  <c r="R33" i="84" s="1"/>
  <c r="T41" i="88"/>
  <c r="BL41" i="88" s="1"/>
  <c r="AO41" i="88" s="1"/>
  <c r="AD31" i="88"/>
  <c r="BV31" i="88" s="1"/>
  <c r="AY31" i="88" s="1"/>
  <c r="AH27" i="88"/>
  <c r="BZ27" i="88" s="1"/>
  <c r="BC27" i="88" s="1"/>
  <c r="Q34" i="84" s="1"/>
  <c r="AK24" i="88"/>
  <c r="CC24" i="88" s="1"/>
  <c r="BF24" i="88" s="1"/>
  <c r="T31" i="84" s="1"/>
  <c r="AC32" i="88"/>
  <c r="BU32" i="88" s="1"/>
  <c r="AX32" i="88" s="1"/>
  <c r="AL23" i="88"/>
  <c r="CD23" i="88" s="1"/>
  <c r="BG23" i="88" s="1"/>
  <c r="U30" i="84" s="1"/>
  <c r="AJ25" i="88"/>
  <c r="CB25" i="88" s="1"/>
  <c r="BE25" i="88" s="1"/>
  <c r="S32" i="84" s="1"/>
  <c r="W38" i="88"/>
  <c r="BO38" i="88" s="1"/>
  <c r="AR38" i="88" s="1"/>
  <c r="Z35" i="88"/>
  <c r="BR35" i="88" s="1"/>
  <c r="AU35" i="88" s="1"/>
  <c r="U40" i="88"/>
  <c r="BM40" i="88" s="1"/>
  <c r="AP40" i="88" s="1"/>
  <c r="AA34" i="88"/>
  <c r="BS34" i="88" s="1"/>
  <c r="AV34" i="88" s="1"/>
  <c r="AB33" i="88"/>
  <c r="BT33" i="88" s="1"/>
  <c r="AW33" i="88" s="1"/>
  <c r="V39" i="88"/>
  <c r="BN39" i="88" s="1"/>
  <c r="AQ39" i="88" s="1"/>
  <c r="AF29" i="88"/>
  <c r="BX29" i="88" s="1"/>
  <c r="BA29" i="88" s="1"/>
  <c r="O36" i="84" s="1"/>
  <c r="AM22" i="88"/>
  <c r="CE22" i="88" s="1"/>
  <c r="BH22" i="88" s="1"/>
  <c r="V29" i="84" s="1"/>
  <c r="AG28" i="88"/>
  <c r="BY28" i="88" s="1"/>
  <c r="BB28" i="88" s="1"/>
  <c r="P35" i="84" s="1"/>
  <c r="N49" i="84" l="1"/>
  <c r="N61" i="84"/>
  <c r="N68" i="84"/>
  <c r="N50" i="84"/>
  <c r="N75" i="84"/>
  <c r="N59" i="84"/>
  <c r="N43" i="84"/>
  <c r="N66" i="84"/>
  <c r="N54" i="84"/>
  <c r="N63" i="84"/>
  <c r="N70" i="84"/>
  <c r="N69" i="84"/>
  <c r="N73" i="84"/>
  <c r="N64" i="84"/>
  <c r="N46" i="84"/>
  <c r="N71" i="84"/>
  <c r="N55" i="84"/>
  <c r="N39" i="84"/>
  <c r="N40" i="84"/>
  <c r="N41" i="84"/>
  <c r="N72" i="84"/>
  <c r="N38" i="84"/>
  <c r="N47" i="84"/>
  <c r="N56" i="84"/>
  <c r="N74" i="84"/>
  <c r="N76" i="84"/>
  <c r="N67" i="84"/>
  <c r="N48" i="84"/>
  <c r="N42" i="84"/>
  <c r="N58" i="84"/>
  <c r="N60" i="84"/>
  <c r="N51" i="84"/>
  <c r="N45" i="84"/>
  <c r="N53" i="84"/>
  <c r="N65" i="84"/>
  <c r="N44" i="84"/>
  <c r="N62" i="84"/>
  <c r="N52" i="84"/>
  <c r="AF30" i="88"/>
  <c r="BX30" i="88" s="1"/>
  <c r="BA30" i="88" s="1"/>
  <c r="O37" i="84" s="1"/>
  <c r="O57" i="84" s="1"/>
  <c r="V40" i="88"/>
  <c r="BN40" i="88" s="1"/>
  <c r="AQ40" i="88" s="1"/>
  <c r="AA35" i="88"/>
  <c r="BS35" i="88" s="1"/>
  <c r="AV35" i="88" s="1"/>
  <c r="W39" i="88"/>
  <c r="BO39" i="88" s="1"/>
  <c r="AR39" i="88" s="1"/>
  <c r="AH28" i="88"/>
  <c r="BZ28" i="88" s="1"/>
  <c r="BC28" i="88" s="1"/>
  <c r="Q35" i="84" s="1"/>
  <c r="Y37" i="88"/>
  <c r="BQ37" i="88" s="1"/>
  <c r="AT37" i="88" s="1"/>
  <c r="Z36" i="88"/>
  <c r="BR36" i="88" s="1"/>
  <c r="AU36" i="88" s="1"/>
  <c r="AE31" i="88"/>
  <c r="BW31" i="88" s="1"/>
  <c r="AZ31" i="88" s="1"/>
  <c r="AJ26" i="88"/>
  <c r="CB26" i="88" s="1"/>
  <c r="BE26" i="88" s="1"/>
  <c r="S33" i="84" s="1"/>
  <c r="U41" i="88"/>
  <c r="BM41" i="88" s="1"/>
  <c r="AP41" i="88" s="1"/>
  <c r="AI27" i="88"/>
  <c r="CA27" i="88" s="1"/>
  <c r="BD27" i="88" s="1"/>
  <c r="R34" i="84" s="1"/>
  <c r="AB34" i="88"/>
  <c r="BT34" i="88" s="1"/>
  <c r="AW34" i="88" s="1"/>
  <c r="AG29" i="88"/>
  <c r="BY29" i="88" s="1"/>
  <c r="BB29" i="88" s="1"/>
  <c r="P36" i="84" s="1"/>
  <c r="AM23" i="88"/>
  <c r="CE23" i="88" s="1"/>
  <c r="BH23" i="88" s="1"/>
  <c r="V30" i="84" s="1"/>
  <c r="AK25" i="88"/>
  <c r="CC25" i="88" s="1"/>
  <c r="BF25" i="88" s="1"/>
  <c r="T32" i="84" s="1"/>
  <c r="X38" i="88"/>
  <c r="BP38" i="88" s="1"/>
  <c r="AS38" i="88" s="1"/>
  <c r="AC33" i="88"/>
  <c r="BU33" i="88" s="1"/>
  <c r="AX33" i="88" s="1"/>
  <c r="T42" i="88"/>
  <c r="BL42" i="88" s="1"/>
  <c r="AO42" i="88" s="1"/>
  <c r="AL24" i="88"/>
  <c r="CD24" i="88" s="1"/>
  <c r="BG24" i="88" s="1"/>
  <c r="U31" i="84" s="1"/>
  <c r="AD32" i="88"/>
  <c r="BV32" i="88" s="1"/>
  <c r="AY32" i="88" s="1"/>
  <c r="O61" i="84" l="1"/>
  <c r="O41" i="84"/>
  <c r="O64" i="84"/>
  <c r="O46" i="84"/>
  <c r="O71" i="84"/>
  <c r="O51" i="84"/>
  <c r="O68" i="84"/>
  <c r="O75" i="84"/>
  <c r="O43" i="84"/>
  <c r="O44" i="84"/>
  <c r="O58" i="84"/>
  <c r="O73" i="84"/>
  <c r="O53" i="84"/>
  <c r="O76" i="84"/>
  <c r="O60" i="84"/>
  <c r="O42" i="84"/>
  <c r="O67" i="84"/>
  <c r="O65" i="84"/>
  <c r="O45" i="84"/>
  <c r="O50" i="84"/>
  <c r="O74" i="84"/>
  <c r="O69" i="84"/>
  <c r="O72" i="84"/>
  <c r="O63" i="84"/>
  <c r="O52" i="84"/>
  <c r="O49" i="84"/>
  <c r="O38" i="84"/>
  <c r="O54" i="84"/>
  <c r="O56" i="84"/>
  <c r="O59" i="84"/>
  <c r="O40" i="84"/>
  <c r="O62" i="84"/>
  <c r="O39" i="84"/>
  <c r="O70" i="84"/>
  <c r="O55" i="84"/>
  <c r="O47" i="84"/>
  <c r="O48" i="84"/>
  <c r="O66" i="84"/>
  <c r="AL25" i="88"/>
  <c r="CD25" i="88" s="1"/>
  <c r="BG25" i="88" s="1"/>
  <c r="U32" i="84" s="1"/>
  <c r="AD33" i="88"/>
  <c r="BV33" i="88" s="1"/>
  <c r="AY33" i="88" s="1"/>
  <c r="U42" i="88"/>
  <c r="BM42" i="88" s="1"/>
  <c r="AP42" i="88" s="1"/>
  <c r="AH29" i="88"/>
  <c r="BZ29" i="88" s="1"/>
  <c r="BC29" i="88" s="1"/>
  <c r="Q36" i="84" s="1"/>
  <c r="AM24" i="88"/>
  <c r="CE24" i="88" s="1"/>
  <c r="BH24" i="88" s="1"/>
  <c r="V31" i="84" s="1"/>
  <c r="AF31" i="88"/>
  <c r="BX31" i="88" s="1"/>
  <c r="BA31" i="88" s="1"/>
  <c r="AB35" i="88"/>
  <c r="BT35" i="88" s="1"/>
  <c r="AW35" i="88" s="1"/>
  <c r="X39" i="88"/>
  <c r="BP39" i="88" s="1"/>
  <c r="AS39" i="88" s="1"/>
  <c r="AG30" i="88"/>
  <c r="BY30" i="88" s="1"/>
  <c r="BB30" i="88" s="1"/>
  <c r="P37" i="84" s="1"/>
  <c r="P57" i="84" s="1"/>
  <c r="AK26" i="88"/>
  <c r="CC26" i="88" s="1"/>
  <c r="BF26" i="88" s="1"/>
  <c r="T33" i="84" s="1"/>
  <c r="AI28" i="88"/>
  <c r="CA28" i="88" s="1"/>
  <c r="BD28" i="88" s="1"/>
  <c r="R35" i="84" s="1"/>
  <c r="AA36" i="88"/>
  <c r="BS36" i="88" s="1"/>
  <c r="AV36" i="88" s="1"/>
  <c r="AE32" i="88"/>
  <c r="BW32" i="88" s="1"/>
  <c r="AZ32" i="88" s="1"/>
  <c r="W40" i="88"/>
  <c r="BO40" i="88" s="1"/>
  <c r="AR40" i="88" s="1"/>
  <c r="Z37" i="88"/>
  <c r="BR37" i="88" s="1"/>
  <c r="AU37" i="88" s="1"/>
  <c r="AJ27" i="88"/>
  <c r="CB27" i="88" s="1"/>
  <c r="BE27" i="88" s="1"/>
  <c r="S34" i="84" s="1"/>
  <c r="AC34" i="88"/>
  <c r="BU34" i="88" s="1"/>
  <c r="AX34" i="88" s="1"/>
  <c r="V41" i="88"/>
  <c r="BN41" i="88" s="1"/>
  <c r="AQ41" i="88" s="1"/>
  <c r="Y38" i="88"/>
  <c r="BQ38" i="88" s="1"/>
  <c r="AT38" i="88" s="1"/>
  <c r="T43" i="88"/>
  <c r="BL43" i="88" s="1"/>
  <c r="AO43" i="88" s="1"/>
  <c r="P75" i="84" l="1"/>
  <c r="P64" i="84"/>
  <c r="P67" i="84"/>
  <c r="P59" i="84"/>
  <c r="P55" i="84"/>
  <c r="P66" i="84"/>
  <c r="P52" i="84"/>
  <c r="P73" i="84"/>
  <c r="P53" i="84"/>
  <c r="P76" i="84"/>
  <c r="P38" i="84"/>
  <c r="P47" i="84"/>
  <c r="P63" i="84"/>
  <c r="P56" i="84"/>
  <c r="P41" i="84"/>
  <c r="P71" i="84"/>
  <c r="P62" i="84"/>
  <c r="P48" i="84"/>
  <c r="P69" i="84"/>
  <c r="P49" i="84"/>
  <c r="P72" i="84"/>
  <c r="P46" i="84"/>
  <c r="P60" i="84"/>
  <c r="P42" i="84"/>
  <c r="P70" i="84"/>
  <c r="P40" i="84"/>
  <c r="P61" i="84"/>
  <c r="P43" i="84"/>
  <c r="P50" i="84"/>
  <c r="P51" i="84"/>
  <c r="P54" i="84"/>
  <c r="P44" i="84"/>
  <c r="P68" i="84"/>
  <c r="P74" i="84"/>
  <c r="P45" i="84"/>
  <c r="P39" i="84"/>
  <c r="P65" i="84"/>
  <c r="P58" i="84"/>
  <c r="AI29" i="88"/>
  <c r="CA29" i="88" s="1"/>
  <c r="BD29" i="88" s="1"/>
  <c r="R36" i="84" s="1"/>
  <c r="Y39" i="88"/>
  <c r="BQ39" i="88" s="1"/>
  <c r="AT39" i="88" s="1"/>
  <c r="X40" i="88"/>
  <c r="BP40" i="88" s="1"/>
  <c r="AS40" i="88" s="1"/>
  <c r="AA37" i="88"/>
  <c r="BS37" i="88" s="1"/>
  <c r="AV37" i="88" s="1"/>
  <c r="AK27" i="88"/>
  <c r="CC27" i="88" s="1"/>
  <c r="BF27" i="88" s="1"/>
  <c r="T34" i="84" s="1"/>
  <c r="AH30" i="88"/>
  <c r="BZ30" i="88" s="1"/>
  <c r="BC30" i="88" s="1"/>
  <c r="Q37" i="84" s="1"/>
  <c r="Q57" i="84" s="1"/>
  <c r="AG31" i="88"/>
  <c r="BY31" i="88" s="1"/>
  <c r="BB31" i="88" s="1"/>
  <c r="T44" i="88"/>
  <c r="BL44" i="88" s="1"/>
  <c r="AO44" i="88" s="1"/>
  <c r="V42" i="88"/>
  <c r="BN42" i="88" s="1"/>
  <c r="AQ42" i="88" s="1"/>
  <c r="AB36" i="88"/>
  <c r="BT36" i="88" s="1"/>
  <c r="AW36" i="88" s="1"/>
  <c r="Z38" i="88"/>
  <c r="BR38" i="88" s="1"/>
  <c r="AU38" i="88" s="1"/>
  <c r="W41" i="88"/>
  <c r="BO41" i="88" s="1"/>
  <c r="AR41" i="88" s="1"/>
  <c r="AJ28" i="88"/>
  <c r="CB28" i="88" s="1"/>
  <c r="BE28" i="88" s="1"/>
  <c r="S35" i="84" s="1"/>
  <c r="U43" i="88"/>
  <c r="BM43" i="88" s="1"/>
  <c r="AP43" i="88" s="1"/>
  <c r="AE33" i="88"/>
  <c r="BW33" i="88" s="1"/>
  <c r="AZ33" i="88" s="1"/>
  <c r="AC35" i="88"/>
  <c r="BU35" i="88" s="1"/>
  <c r="AX35" i="88" s="1"/>
  <c r="AD34" i="88"/>
  <c r="BV34" i="88" s="1"/>
  <c r="AY34" i="88" s="1"/>
  <c r="AM25" i="88"/>
  <c r="CE25" i="88" s="1"/>
  <c r="BH25" i="88" s="1"/>
  <c r="V32" i="84" s="1"/>
  <c r="AF32" i="88"/>
  <c r="BX32" i="88" s="1"/>
  <c r="BA32" i="88" s="1"/>
  <c r="AL26" i="88"/>
  <c r="CD26" i="88" s="1"/>
  <c r="BG26" i="88" s="1"/>
  <c r="U33" i="84" s="1"/>
  <c r="Q71" i="84" l="1"/>
  <c r="Q70" i="84"/>
  <c r="Q64" i="84"/>
  <c r="Q47" i="84"/>
  <c r="Q56" i="84"/>
  <c r="Q42" i="84"/>
  <c r="Q68" i="84"/>
  <c r="Q40" i="84"/>
  <c r="Q72" i="84"/>
  <c r="Q63" i="84"/>
  <c r="Q73" i="84"/>
  <c r="Q45" i="84"/>
  <c r="Q44" i="84"/>
  <c r="Q67" i="84"/>
  <c r="Q43" i="84"/>
  <c r="Q69" i="84"/>
  <c r="Q51" i="84"/>
  <c r="Q52" i="84"/>
  <c r="Q41" i="84"/>
  <c r="Q39" i="84"/>
  <c r="Q54" i="84"/>
  <c r="Q59" i="84"/>
  <c r="Q53" i="84"/>
  <c r="Q74" i="84"/>
  <c r="Q49" i="84"/>
  <c r="Q60" i="84"/>
  <c r="Q62" i="84"/>
  <c r="Q66" i="84"/>
  <c r="Q50" i="84"/>
  <c r="Q58" i="84"/>
  <c r="Q76" i="84"/>
  <c r="Q75" i="84"/>
  <c r="Q61" i="84"/>
  <c r="Q48" i="84"/>
  <c r="Q38" i="84"/>
  <c r="Q55" i="84"/>
  <c r="Q46" i="84"/>
  <c r="Q65" i="84"/>
  <c r="AI30" i="88"/>
  <c r="CA30" i="88" s="1"/>
  <c r="BD30" i="88" s="1"/>
  <c r="R37" i="84" s="1"/>
  <c r="R57" i="84" s="1"/>
  <c r="AE34" i="88"/>
  <c r="BW34" i="88" s="1"/>
  <c r="AZ34" i="88" s="1"/>
  <c r="AK28" i="88"/>
  <c r="CC28" i="88" s="1"/>
  <c r="BF28" i="88" s="1"/>
  <c r="T35" i="84" s="1"/>
  <c r="T45" i="88"/>
  <c r="BL45" i="88" s="1"/>
  <c r="AO45" i="88" s="1"/>
  <c r="AF33" i="88"/>
  <c r="BX33" i="88" s="1"/>
  <c r="BA33" i="88" s="1"/>
  <c r="AD35" i="88"/>
  <c r="BV35" i="88" s="1"/>
  <c r="AY35" i="88" s="1"/>
  <c r="Y40" i="88"/>
  <c r="BQ40" i="88" s="1"/>
  <c r="AT40" i="88" s="1"/>
  <c r="AJ29" i="88"/>
  <c r="CB29" i="88" s="1"/>
  <c r="BE29" i="88" s="1"/>
  <c r="S36" i="84" s="1"/>
  <c r="V43" i="88"/>
  <c r="BN43" i="88" s="1"/>
  <c r="AQ43" i="88" s="1"/>
  <c r="AA38" i="88"/>
  <c r="BS38" i="88" s="1"/>
  <c r="AV38" i="88" s="1"/>
  <c r="AG32" i="88"/>
  <c r="BY32" i="88" s="1"/>
  <c r="BB32" i="88" s="1"/>
  <c r="Z39" i="88"/>
  <c r="BR39" i="88" s="1"/>
  <c r="AU39" i="88" s="1"/>
  <c r="X41" i="88"/>
  <c r="BP41" i="88" s="1"/>
  <c r="AS41" i="88" s="1"/>
  <c r="AM26" i="88"/>
  <c r="CE26" i="88" s="1"/>
  <c r="BH26" i="88" s="1"/>
  <c r="V33" i="84" s="1"/>
  <c r="AB37" i="88"/>
  <c r="BT37" i="88" s="1"/>
  <c r="AW37" i="88" s="1"/>
  <c r="AL27" i="88"/>
  <c r="CD27" i="88" s="1"/>
  <c r="BG27" i="88" s="1"/>
  <c r="U34" i="84" s="1"/>
  <c r="AC36" i="88"/>
  <c r="BU36" i="88" s="1"/>
  <c r="AX36" i="88" s="1"/>
  <c r="U44" i="88"/>
  <c r="BM44" i="88" s="1"/>
  <c r="AP44" i="88" s="1"/>
  <c r="AH31" i="88"/>
  <c r="BZ31" i="88" s="1"/>
  <c r="BC31" i="88" s="1"/>
  <c r="W42" i="88"/>
  <c r="BO42" i="88" s="1"/>
  <c r="AR42" i="88" s="1"/>
  <c r="R69" i="84" l="1"/>
  <c r="R61" i="84"/>
  <c r="R65" i="84"/>
  <c r="R60" i="84"/>
  <c r="R67" i="84"/>
  <c r="R74" i="84"/>
  <c r="R72" i="84"/>
  <c r="R45" i="84"/>
  <c r="R54" i="84"/>
  <c r="R63" i="84"/>
  <c r="R70" i="84"/>
  <c r="R38" i="84"/>
  <c r="R47" i="84"/>
  <c r="R44" i="84"/>
  <c r="R42" i="84"/>
  <c r="R56" i="84"/>
  <c r="R76" i="84"/>
  <c r="R51" i="84"/>
  <c r="R46" i="84"/>
  <c r="R52" i="84"/>
  <c r="R43" i="84"/>
  <c r="R68" i="84"/>
  <c r="R62" i="84"/>
  <c r="R48" i="84"/>
  <c r="R50" i="84"/>
  <c r="R41" i="84"/>
  <c r="R40" i="84"/>
  <c r="R55" i="84"/>
  <c r="R58" i="84"/>
  <c r="R73" i="84"/>
  <c r="R75" i="84"/>
  <c r="R53" i="84"/>
  <c r="R39" i="84"/>
  <c r="R64" i="84"/>
  <c r="R49" i="84"/>
  <c r="R59" i="84"/>
  <c r="R71" i="84"/>
  <c r="R66" i="84"/>
  <c r="U45" i="88"/>
  <c r="BM45" i="88" s="1"/>
  <c r="AP45" i="88" s="1"/>
  <c r="AC37" i="88"/>
  <c r="BU37" i="88" s="1"/>
  <c r="AX37" i="88" s="1"/>
  <c r="AK29" i="88"/>
  <c r="CC29" i="88" s="1"/>
  <c r="BF29" i="88" s="1"/>
  <c r="T36" i="84" s="1"/>
  <c r="V44" i="88"/>
  <c r="BN44" i="88" s="1"/>
  <c r="AQ44" i="88" s="1"/>
  <c r="AA39" i="88"/>
  <c r="BS39" i="88" s="1"/>
  <c r="AV39" i="88" s="1"/>
  <c r="AL28" i="88"/>
  <c r="CD28" i="88" s="1"/>
  <c r="BG28" i="88" s="1"/>
  <c r="U35" i="84" s="1"/>
  <c r="AE35" i="88"/>
  <c r="BW35" i="88" s="1"/>
  <c r="AZ35" i="88" s="1"/>
  <c r="AD36" i="88"/>
  <c r="BV36" i="88" s="1"/>
  <c r="AY36" i="88" s="1"/>
  <c r="AB38" i="88"/>
  <c r="BT38" i="88" s="1"/>
  <c r="AW38" i="88" s="1"/>
  <c r="X42" i="88"/>
  <c r="BP42" i="88" s="1"/>
  <c r="AS42" i="88" s="1"/>
  <c r="AG33" i="88"/>
  <c r="BY33" i="88" s="1"/>
  <c r="BB33" i="88" s="1"/>
  <c r="AF34" i="88"/>
  <c r="BX34" i="88" s="1"/>
  <c r="BA34" i="88" s="1"/>
  <c r="AI31" i="88"/>
  <c r="CA31" i="88" s="1"/>
  <c r="BD31" i="88" s="1"/>
  <c r="Z40" i="88"/>
  <c r="BR40" i="88" s="1"/>
  <c r="AU40" i="88" s="1"/>
  <c r="T46" i="88"/>
  <c r="BL46" i="88" s="1"/>
  <c r="AO46" i="88" s="1"/>
  <c r="Y41" i="88"/>
  <c r="BQ41" i="88" s="1"/>
  <c r="AT41" i="88" s="1"/>
  <c r="AJ30" i="88"/>
  <c r="CB30" i="88" s="1"/>
  <c r="BE30" i="88" s="1"/>
  <c r="S37" i="84" s="1"/>
  <c r="S57" i="84" s="1"/>
  <c r="W43" i="88"/>
  <c r="BO43" i="88" s="1"/>
  <c r="AR43" i="88" s="1"/>
  <c r="AM27" i="88"/>
  <c r="CE27" i="88" s="1"/>
  <c r="BH27" i="88" s="1"/>
  <c r="V34" i="84" s="1"/>
  <c r="AH32" i="88"/>
  <c r="BZ32" i="88" s="1"/>
  <c r="BC32" i="88" s="1"/>
  <c r="S61" i="84" l="1"/>
  <c r="S41" i="84"/>
  <c r="S64" i="84"/>
  <c r="S46" i="84"/>
  <c r="S71" i="84"/>
  <c r="S56" i="84"/>
  <c r="S59" i="84"/>
  <c r="S45" i="84"/>
  <c r="S50" i="84"/>
  <c r="S58" i="84"/>
  <c r="S73" i="84"/>
  <c r="S53" i="84"/>
  <c r="S76" i="84"/>
  <c r="S60" i="84"/>
  <c r="S42" i="84"/>
  <c r="S67" i="84"/>
  <c r="S44" i="84"/>
  <c r="S51" i="84"/>
  <c r="S74" i="84"/>
  <c r="S52" i="84"/>
  <c r="S66" i="84"/>
  <c r="S43" i="84"/>
  <c r="S47" i="84"/>
  <c r="S39" i="84"/>
  <c r="S65" i="84"/>
  <c r="S68" i="84"/>
  <c r="S75" i="84"/>
  <c r="S48" i="84"/>
  <c r="S49" i="84"/>
  <c r="S55" i="84"/>
  <c r="S38" i="84"/>
  <c r="S62" i="84"/>
  <c r="S54" i="84"/>
  <c r="S70" i="84"/>
  <c r="S72" i="84"/>
  <c r="S63" i="84"/>
  <c r="S40" i="84"/>
  <c r="S69" i="84"/>
  <c r="W44" i="88"/>
  <c r="BO44" i="88" s="1"/>
  <c r="AR44" i="88" s="1"/>
  <c r="T47" i="88"/>
  <c r="BL47" i="88" s="1"/>
  <c r="AO47" i="88" s="1"/>
  <c r="AG34" i="88"/>
  <c r="BY34" i="88" s="1"/>
  <c r="BB34" i="88" s="1"/>
  <c r="AF35" i="88"/>
  <c r="BX35" i="88" s="1"/>
  <c r="BA35" i="88" s="1"/>
  <c r="Z41" i="88"/>
  <c r="BR41" i="88" s="1"/>
  <c r="AU41" i="88" s="1"/>
  <c r="AH33" i="88"/>
  <c r="BZ33" i="88" s="1"/>
  <c r="BC33" i="88" s="1"/>
  <c r="U46" i="88"/>
  <c r="BM46" i="88" s="1"/>
  <c r="AP46" i="88" s="1"/>
  <c r="AK30" i="88"/>
  <c r="CC30" i="88" s="1"/>
  <c r="BF30" i="88" s="1"/>
  <c r="T37" i="84" s="1"/>
  <c r="T57" i="84" s="1"/>
  <c r="AM28" i="88"/>
  <c r="CE28" i="88" s="1"/>
  <c r="BH28" i="88" s="1"/>
  <c r="V35" i="84" s="1"/>
  <c r="AI32" i="88"/>
  <c r="CA32" i="88" s="1"/>
  <c r="BD32" i="88" s="1"/>
  <c r="Y42" i="88"/>
  <c r="BQ42" i="88" s="1"/>
  <c r="AT42" i="88" s="1"/>
  <c r="V45" i="88"/>
  <c r="BN45" i="88" s="1"/>
  <c r="AQ45" i="88" s="1"/>
  <c r="AE36" i="88"/>
  <c r="BW36" i="88" s="1"/>
  <c r="AZ36" i="88" s="1"/>
  <c r="AC38" i="88"/>
  <c r="BU38" i="88" s="1"/>
  <c r="AX38" i="88" s="1"/>
  <c r="AB39" i="88"/>
  <c r="BT39" i="88" s="1"/>
  <c r="AW39" i="88" s="1"/>
  <c r="AA40" i="88"/>
  <c r="BS40" i="88" s="1"/>
  <c r="AV40" i="88" s="1"/>
  <c r="AJ31" i="88"/>
  <c r="CB31" i="88" s="1"/>
  <c r="BE31" i="88" s="1"/>
  <c r="X43" i="88"/>
  <c r="BP43" i="88" s="1"/>
  <c r="AS43" i="88" s="1"/>
  <c r="AD37" i="88"/>
  <c r="BV37" i="88" s="1"/>
  <c r="AY37" i="88" s="1"/>
  <c r="AL29" i="88"/>
  <c r="CD29" i="88" s="1"/>
  <c r="BG29" i="88" s="1"/>
  <c r="U36" i="84" s="1"/>
  <c r="T55" i="84" l="1"/>
  <c r="T63" i="84"/>
  <c r="T47" i="84"/>
  <c r="T71" i="84"/>
  <c r="T39" i="84"/>
  <c r="T74" i="84"/>
  <c r="T58" i="84"/>
  <c r="T44" i="84"/>
  <c r="T65" i="84"/>
  <c r="T45" i="84"/>
  <c r="T68" i="84"/>
  <c r="T54" i="84"/>
  <c r="T75" i="84"/>
  <c r="T43" i="84"/>
  <c r="T46" i="84"/>
  <c r="T48" i="84"/>
  <c r="T49" i="84"/>
  <c r="T38" i="84"/>
  <c r="T60" i="84"/>
  <c r="T70" i="84"/>
  <c r="T56" i="84"/>
  <c r="T40" i="84"/>
  <c r="T61" i="84"/>
  <c r="T41" i="84"/>
  <c r="T51" i="84"/>
  <c r="T62" i="84"/>
  <c r="T69" i="84"/>
  <c r="T72" i="84"/>
  <c r="T50" i="84"/>
  <c r="T64" i="84"/>
  <c r="T53" i="84"/>
  <c r="T67" i="84"/>
  <c r="T52" i="84"/>
  <c r="T59" i="84"/>
  <c r="T66" i="84"/>
  <c r="T76" i="84"/>
  <c r="T73" i="84"/>
  <c r="T42" i="84"/>
  <c r="W45" i="88"/>
  <c r="BO45" i="88" s="1"/>
  <c r="AR45" i="88" s="1"/>
  <c r="AK31" i="88"/>
  <c r="CC31" i="88" s="1"/>
  <c r="BF31" i="88" s="1"/>
  <c r="AL30" i="88"/>
  <c r="CD30" i="88" s="1"/>
  <c r="BG30" i="88" s="1"/>
  <c r="U37" i="84" s="1"/>
  <c r="U57" i="84" s="1"/>
  <c r="U47" i="88"/>
  <c r="BM47" i="88" s="1"/>
  <c r="AP47" i="88" s="1"/>
  <c r="Y43" i="88"/>
  <c r="BQ43" i="88" s="1"/>
  <c r="AT43" i="88" s="1"/>
  <c r="T48" i="88"/>
  <c r="BL48" i="88" s="1"/>
  <c r="AO48" i="88" s="1"/>
  <c r="AH34" i="88"/>
  <c r="BZ34" i="88" s="1"/>
  <c r="BC34" i="88" s="1"/>
  <c r="AB40" i="88"/>
  <c r="BT40" i="88" s="1"/>
  <c r="AW40" i="88" s="1"/>
  <c r="AE37" i="88"/>
  <c r="BW37" i="88" s="1"/>
  <c r="AZ37" i="88" s="1"/>
  <c r="AC39" i="88"/>
  <c r="BU39" i="88" s="1"/>
  <c r="AX39" i="88" s="1"/>
  <c r="AG35" i="88"/>
  <c r="BY35" i="88" s="1"/>
  <c r="BB35" i="88" s="1"/>
  <c r="AA41" i="88"/>
  <c r="BS41" i="88" s="1"/>
  <c r="AV41" i="88" s="1"/>
  <c r="AF36" i="88"/>
  <c r="BX36" i="88" s="1"/>
  <c r="BA36" i="88" s="1"/>
  <c r="Z42" i="88"/>
  <c r="BR42" i="88" s="1"/>
  <c r="AU42" i="88" s="1"/>
  <c r="X44" i="88"/>
  <c r="BP44" i="88" s="1"/>
  <c r="AS44" i="88" s="1"/>
  <c r="V46" i="88"/>
  <c r="BN46" i="88" s="1"/>
  <c r="AQ46" i="88" s="1"/>
  <c r="AM29" i="88"/>
  <c r="CE29" i="88" s="1"/>
  <c r="BH29" i="88" s="1"/>
  <c r="V36" i="84" s="1"/>
  <c r="AJ32" i="88"/>
  <c r="CB32" i="88" s="1"/>
  <c r="BE32" i="88" s="1"/>
  <c r="AD38" i="88"/>
  <c r="BV38" i="88" s="1"/>
  <c r="AY38" i="88" s="1"/>
  <c r="AI33" i="88"/>
  <c r="CA33" i="88" s="1"/>
  <c r="BD33" i="88" s="1"/>
  <c r="U75" i="84" l="1"/>
  <c r="U59" i="84"/>
  <c r="U43" i="84"/>
  <c r="U66" i="84"/>
  <c r="U52" i="84"/>
  <c r="U73" i="84"/>
  <c r="U68" i="84"/>
  <c r="U50" i="84"/>
  <c r="U45" i="84"/>
  <c r="U63" i="84"/>
  <c r="U56" i="84"/>
  <c r="U61" i="84"/>
  <c r="U71" i="84"/>
  <c r="U55" i="84"/>
  <c r="U39" i="84"/>
  <c r="U62" i="84"/>
  <c r="U48" i="84"/>
  <c r="U69" i="84"/>
  <c r="U76" i="84"/>
  <c r="U38" i="84"/>
  <c r="U64" i="84"/>
  <c r="U53" i="84"/>
  <c r="U47" i="84"/>
  <c r="U70" i="84"/>
  <c r="U40" i="84"/>
  <c r="U60" i="84"/>
  <c r="U54" i="84"/>
  <c r="U42" i="84"/>
  <c r="U41" i="84"/>
  <c r="U58" i="84"/>
  <c r="U51" i="84"/>
  <c r="U46" i="84"/>
  <c r="U67" i="84"/>
  <c r="U44" i="84"/>
  <c r="U49" i="84"/>
  <c r="U72" i="84"/>
  <c r="U74" i="84"/>
  <c r="U65" i="84"/>
  <c r="AJ33" i="88"/>
  <c r="CB33" i="88" s="1"/>
  <c r="BE33" i="88" s="1"/>
  <c r="AC40" i="88"/>
  <c r="BU40" i="88" s="1"/>
  <c r="AX40" i="88" s="1"/>
  <c r="W46" i="88"/>
  <c r="BO46" i="88" s="1"/>
  <c r="AR46" i="88" s="1"/>
  <c r="U48" i="88"/>
  <c r="BM48" i="88" s="1"/>
  <c r="AP48" i="88" s="1"/>
  <c r="Z43" i="88"/>
  <c r="BR43" i="88" s="1"/>
  <c r="AU43" i="88" s="1"/>
  <c r="X45" i="88"/>
  <c r="BP45" i="88" s="1"/>
  <c r="AS45" i="88" s="1"/>
  <c r="V47" i="88"/>
  <c r="BN47" i="88" s="1"/>
  <c r="AQ47" i="88" s="1"/>
  <c r="AA42" i="88"/>
  <c r="BS42" i="88" s="1"/>
  <c r="AV42" i="88" s="1"/>
  <c r="AI34" i="88"/>
  <c r="CA34" i="88" s="1"/>
  <c r="BD34" i="88" s="1"/>
  <c r="AB41" i="88"/>
  <c r="BT41" i="88" s="1"/>
  <c r="AW41" i="88" s="1"/>
  <c r="Y44" i="88"/>
  <c r="BQ44" i="88" s="1"/>
  <c r="AT44" i="88" s="1"/>
  <c r="AK32" i="88"/>
  <c r="CC32" i="88" s="1"/>
  <c r="BF32" i="88" s="1"/>
  <c r="AL31" i="88"/>
  <c r="CD31" i="88" s="1"/>
  <c r="BG31" i="88" s="1"/>
  <c r="AE38" i="88"/>
  <c r="BW38" i="88" s="1"/>
  <c r="AZ38" i="88" s="1"/>
  <c r="AH35" i="88"/>
  <c r="BZ35" i="88" s="1"/>
  <c r="BC35" i="88" s="1"/>
  <c r="AF37" i="88"/>
  <c r="BX37" i="88" s="1"/>
  <c r="BA37" i="88" s="1"/>
  <c r="AM30" i="88"/>
  <c r="CE30" i="88" s="1"/>
  <c r="BH30" i="88" s="1"/>
  <c r="T49" i="88"/>
  <c r="BL49" i="88" s="1"/>
  <c r="AO49" i="88" s="1"/>
  <c r="AD39" i="88"/>
  <c r="BV39" i="88" s="1"/>
  <c r="AY39" i="88" s="1"/>
  <c r="AG36" i="88"/>
  <c r="BY36" i="88" s="1"/>
  <c r="BB36" i="88" s="1"/>
  <c r="V37" i="84" l="1"/>
  <c r="V57" i="84" s="1"/>
  <c r="AM31" i="88"/>
  <c r="CE31" i="88" s="1"/>
  <c r="BH31" i="88" s="1"/>
  <c r="Z44" i="88"/>
  <c r="BR44" i="88" s="1"/>
  <c r="AU44" i="88" s="1"/>
  <c r="Y45" i="88"/>
  <c r="BQ45" i="88" s="1"/>
  <c r="AT45" i="88" s="1"/>
  <c r="AD40" i="88"/>
  <c r="BV40" i="88" s="1"/>
  <c r="AY40" i="88" s="1"/>
  <c r="AI35" i="88"/>
  <c r="CA35" i="88" s="1"/>
  <c r="BD35" i="88" s="1"/>
  <c r="AA43" i="88"/>
  <c r="BS43" i="88" s="1"/>
  <c r="AV43" i="88" s="1"/>
  <c r="AH36" i="88"/>
  <c r="BZ36" i="88" s="1"/>
  <c r="BC36" i="88" s="1"/>
  <c r="AG37" i="88"/>
  <c r="BY37" i="88" s="1"/>
  <c r="BB37" i="88" s="1"/>
  <c r="AL32" i="88"/>
  <c r="CD32" i="88" s="1"/>
  <c r="BG32" i="88" s="1"/>
  <c r="AK33" i="88"/>
  <c r="CC33" i="88" s="1"/>
  <c r="BF33" i="88" s="1"/>
  <c r="AC41" i="88"/>
  <c r="BU41" i="88" s="1"/>
  <c r="AX41" i="88" s="1"/>
  <c r="AJ34" i="88"/>
  <c r="CB34" i="88" s="1"/>
  <c r="BE34" i="88" s="1"/>
  <c r="U49" i="88"/>
  <c r="BM49" i="88" s="1"/>
  <c r="AP49" i="88" s="1"/>
  <c r="AF38" i="88"/>
  <c r="BX38" i="88" s="1"/>
  <c r="BA38" i="88" s="1"/>
  <c r="AB42" i="88"/>
  <c r="BT42" i="88" s="1"/>
  <c r="AW42" i="88" s="1"/>
  <c r="X46" i="88"/>
  <c r="BP46" i="88" s="1"/>
  <c r="AS46" i="88" s="1"/>
  <c r="V48" i="88"/>
  <c r="BN48" i="88" s="1"/>
  <c r="AQ48" i="88" s="1"/>
  <c r="AE39" i="88"/>
  <c r="BW39" i="88" s="1"/>
  <c r="AZ39" i="88" s="1"/>
  <c r="T50" i="88"/>
  <c r="BL50" i="88" s="1"/>
  <c r="AO50" i="88" s="1"/>
  <c r="W47" i="88"/>
  <c r="BO47" i="88" s="1"/>
  <c r="AR47" i="88" s="1"/>
  <c r="V50" i="84" l="1"/>
  <c r="V55" i="84"/>
  <c r="V39" i="84"/>
  <c r="V44" i="84"/>
  <c r="V52" i="84"/>
  <c r="V76" i="84"/>
  <c r="V75" i="84"/>
  <c r="V74" i="84"/>
  <c r="V64" i="84"/>
  <c r="V59" i="84"/>
  <c r="V54" i="84"/>
  <c r="V38" i="84"/>
  <c r="V43" i="84"/>
  <c r="V40" i="84"/>
  <c r="V41" i="84"/>
  <c r="V67" i="84"/>
  <c r="V71" i="84"/>
  <c r="V72" i="84"/>
  <c r="V70" i="84"/>
  <c r="V62" i="84"/>
  <c r="V60" i="84"/>
  <c r="V46" i="84"/>
  <c r="V51" i="84"/>
  <c r="V56" i="84"/>
  <c r="V45" i="84"/>
  <c r="V53" i="84"/>
  <c r="V65" i="84"/>
  <c r="V69" i="84"/>
  <c r="V58" i="84"/>
  <c r="V66" i="84"/>
  <c r="V73" i="84"/>
  <c r="V42" i="84"/>
  <c r="V47" i="84"/>
  <c r="V48" i="84"/>
  <c r="V49" i="84"/>
  <c r="V61" i="84"/>
  <c r="V63" i="84"/>
  <c r="V68" i="84"/>
  <c r="AH37" i="88"/>
  <c r="BZ37" i="88" s="1"/>
  <c r="BC37" i="88" s="1"/>
  <c r="AL33" i="88"/>
  <c r="CD33" i="88" s="1"/>
  <c r="BG33" i="88" s="1"/>
  <c r="Y46" i="88"/>
  <c r="BQ46" i="88" s="1"/>
  <c r="AT46" i="88" s="1"/>
  <c r="X47" i="88"/>
  <c r="BP47" i="88" s="1"/>
  <c r="AS47" i="88" s="1"/>
  <c r="AA44" i="88"/>
  <c r="BS44" i="88" s="1"/>
  <c r="AV44" i="88" s="1"/>
  <c r="AB43" i="88"/>
  <c r="BT43" i="88" s="1"/>
  <c r="AW43" i="88" s="1"/>
  <c r="U50" i="88"/>
  <c r="BM50" i="88" s="1"/>
  <c r="AP50" i="88" s="1"/>
  <c r="AD41" i="88"/>
  <c r="BV41" i="88" s="1"/>
  <c r="AY41" i="88" s="1"/>
  <c r="AC42" i="88"/>
  <c r="BU42" i="88" s="1"/>
  <c r="AX42" i="88" s="1"/>
  <c r="AG38" i="88"/>
  <c r="BY38" i="88" s="1"/>
  <c r="BB38" i="88" s="1"/>
  <c r="V49" i="88"/>
  <c r="BN49" i="88" s="1"/>
  <c r="AQ49" i="88" s="1"/>
  <c r="AI36" i="88"/>
  <c r="CA36" i="88" s="1"/>
  <c r="BD36" i="88" s="1"/>
  <c r="AJ35" i="88"/>
  <c r="CB35" i="88" s="1"/>
  <c r="BE35" i="88" s="1"/>
  <c r="AF39" i="88"/>
  <c r="BX39" i="88" s="1"/>
  <c r="BA39" i="88" s="1"/>
  <c r="AK34" i="88"/>
  <c r="CC34" i="88" s="1"/>
  <c r="BF34" i="88" s="1"/>
  <c r="Z45" i="88"/>
  <c r="BR45" i="88" s="1"/>
  <c r="AU45" i="88" s="1"/>
  <c r="T51" i="88"/>
  <c r="BL51" i="88" s="1"/>
  <c r="AO51" i="88" s="1"/>
  <c r="AM32" i="88"/>
  <c r="CE32" i="88" s="1"/>
  <c r="BH32" i="88" s="1"/>
  <c r="W48" i="88"/>
  <c r="BO48" i="88" s="1"/>
  <c r="AR48" i="88" s="1"/>
  <c r="AE40" i="88"/>
  <c r="BW40" i="88" s="1"/>
  <c r="AZ40" i="88" s="1"/>
  <c r="AB44" i="88" l="1"/>
  <c r="BT44" i="88" s="1"/>
  <c r="AW44" i="88" s="1"/>
  <c r="X48" i="88"/>
  <c r="BP48" i="88" s="1"/>
  <c r="AS48" i="88" s="1"/>
  <c r="AH38" i="88"/>
  <c r="BZ38" i="88" s="1"/>
  <c r="BC38" i="88" s="1"/>
  <c r="V50" i="88"/>
  <c r="BN50" i="88" s="1"/>
  <c r="AQ50" i="88" s="1"/>
  <c r="AK35" i="88"/>
  <c r="CC35" i="88" s="1"/>
  <c r="BF35" i="88" s="1"/>
  <c r="AJ36" i="88"/>
  <c r="CB36" i="88" s="1"/>
  <c r="BE36" i="88" s="1"/>
  <c r="AL34" i="88"/>
  <c r="CD34" i="88" s="1"/>
  <c r="BG34" i="88" s="1"/>
  <c r="AC43" i="88"/>
  <c r="BU43" i="88" s="1"/>
  <c r="AX43" i="88" s="1"/>
  <c r="AF40" i="88"/>
  <c r="BX40" i="88" s="1"/>
  <c r="BA40" i="88" s="1"/>
  <c r="Z46" i="88"/>
  <c r="BR46" i="88" s="1"/>
  <c r="AU46" i="88" s="1"/>
  <c r="AM33" i="88"/>
  <c r="CE33" i="88" s="1"/>
  <c r="BH33" i="88" s="1"/>
  <c r="AD42" i="88"/>
  <c r="BV42" i="88" s="1"/>
  <c r="AY42" i="88" s="1"/>
  <c r="T52" i="88"/>
  <c r="BL52" i="88" s="1"/>
  <c r="AO52" i="88" s="1"/>
  <c r="AG39" i="88"/>
  <c r="BY39" i="88" s="1"/>
  <c r="BB39" i="88" s="1"/>
  <c r="AI37" i="88"/>
  <c r="CA37" i="88" s="1"/>
  <c r="BD37" i="88" s="1"/>
  <c r="W49" i="88"/>
  <c r="BO49" i="88" s="1"/>
  <c r="AR49" i="88" s="1"/>
  <c r="Y47" i="88"/>
  <c r="BQ47" i="88" s="1"/>
  <c r="AT47" i="88" s="1"/>
  <c r="U51" i="88"/>
  <c r="BM51" i="88" s="1"/>
  <c r="AP51" i="88" s="1"/>
  <c r="AE41" i="88"/>
  <c r="BW41" i="88" s="1"/>
  <c r="AZ41" i="88" s="1"/>
  <c r="AA45" i="88"/>
  <c r="BS45" i="88" s="1"/>
  <c r="AV45" i="88" s="1"/>
  <c r="AB45" i="88" l="1"/>
  <c r="BT45" i="88" s="1"/>
  <c r="AW45" i="88" s="1"/>
  <c r="W50" i="88"/>
  <c r="BO50" i="88" s="1"/>
  <c r="AR50" i="88" s="1"/>
  <c r="AD43" i="88"/>
  <c r="BV43" i="88" s="1"/>
  <c r="AY43" i="88" s="1"/>
  <c r="AF41" i="88"/>
  <c r="BX41" i="88" s="1"/>
  <c r="BA41" i="88" s="1"/>
  <c r="AC44" i="88"/>
  <c r="BU44" i="88" s="1"/>
  <c r="AX44" i="88" s="1"/>
  <c r="T53" i="88"/>
  <c r="BL53" i="88" s="1"/>
  <c r="AO53" i="88" s="1"/>
  <c r="AI38" i="88"/>
  <c r="CA38" i="88" s="1"/>
  <c r="BD38" i="88" s="1"/>
  <c r="AG40" i="88"/>
  <c r="BY40" i="88" s="1"/>
  <c r="BB40" i="88" s="1"/>
  <c r="Z47" i="88"/>
  <c r="BR47" i="88" s="1"/>
  <c r="AU47" i="88" s="1"/>
  <c r="V51" i="88"/>
  <c r="BN51" i="88" s="1"/>
  <c r="AQ51" i="88" s="1"/>
  <c r="AH39" i="88"/>
  <c r="BZ39" i="88" s="1"/>
  <c r="BC39" i="88" s="1"/>
  <c r="AK36" i="88"/>
  <c r="CC36" i="88" s="1"/>
  <c r="BF36" i="88" s="1"/>
  <c r="X49" i="88"/>
  <c r="BP49" i="88" s="1"/>
  <c r="AS49" i="88" s="1"/>
  <c r="AA46" i="88"/>
  <c r="BS46" i="88" s="1"/>
  <c r="AV46" i="88" s="1"/>
  <c r="AJ37" i="88"/>
  <c r="CB37" i="88" s="1"/>
  <c r="BE37" i="88" s="1"/>
  <c r="Y48" i="88"/>
  <c r="BQ48" i="88" s="1"/>
  <c r="AT48" i="88" s="1"/>
  <c r="U52" i="88"/>
  <c r="BM52" i="88" s="1"/>
  <c r="AP52" i="88" s="1"/>
  <c r="AL35" i="88"/>
  <c r="CD35" i="88" s="1"/>
  <c r="BG35" i="88" s="1"/>
  <c r="AE42" i="88"/>
  <c r="BW42" i="88" s="1"/>
  <c r="AZ42" i="88" s="1"/>
  <c r="AM34" i="88"/>
  <c r="CE34" i="88" s="1"/>
  <c r="BH34" i="88" s="1"/>
  <c r="AG41" i="88" l="1"/>
  <c r="BY41" i="88" s="1"/>
  <c r="BB41" i="88" s="1"/>
  <c r="AA47" i="88"/>
  <c r="BS47" i="88" s="1"/>
  <c r="AV47" i="88" s="1"/>
  <c r="X50" i="88"/>
  <c r="BP50" i="88" s="1"/>
  <c r="AS50" i="88" s="1"/>
  <c r="Z48" i="88"/>
  <c r="BR48" i="88" s="1"/>
  <c r="AU48" i="88" s="1"/>
  <c r="Y49" i="88"/>
  <c r="BQ49" i="88" s="1"/>
  <c r="AT49" i="88" s="1"/>
  <c r="V52" i="88"/>
  <c r="BN52" i="88" s="1"/>
  <c r="AQ52" i="88" s="1"/>
  <c r="AK37" i="88"/>
  <c r="CC37" i="88" s="1"/>
  <c r="BF37" i="88" s="1"/>
  <c r="AD44" i="88"/>
  <c r="BV44" i="88" s="1"/>
  <c r="AY44" i="88" s="1"/>
  <c r="AJ38" i="88"/>
  <c r="CB38" i="88" s="1"/>
  <c r="BE38" i="88" s="1"/>
  <c r="AL36" i="88"/>
  <c r="CD36" i="88" s="1"/>
  <c r="BG36" i="88" s="1"/>
  <c r="AM35" i="88"/>
  <c r="CE35" i="88" s="1"/>
  <c r="BH35" i="88" s="1"/>
  <c r="W51" i="88"/>
  <c r="BO51" i="88" s="1"/>
  <c r="AR51" i="88" s="1"/>
  <c r="AB46" i="88"/>
  <c r="BT46" i="88" s="1"/>
  <c r="AW46" i="88" s="1"/>
  <c r="AH40" i="88"/>
  <c r="BZ40" i="88" s="1"/>
  <c r="BC40" i="88" s="1"/>
  <c r="T54" i="88"/>
  <c r="BL54" i="88" s="1"/>
  <c r="AO54" i="88" s="1"/>
  <c r="AE43" i="88"/>
  <c r="BW43" i="88" s="1"/>
  <c r="AZ43" i="88" s="1"/>
  <c r="U53" i="88"/>
  <c r="BM53" i="88" s="1"/>
  <c r="AP53" i="88" s="1"/>
  <c r="AC45" i="88"/>
  <c r="BU45" i="88" s="1"/>
  <c r="AX45" i="88" s="1"/>
  <c r="AI39" i="88"/>
  <c r="CA39" i="88" s="1"/>
  <c r="BD39" i="88" s="1"/>
  <c r="AF42" i="88"/>
  <c r="BX42" i="88" s="1"/>
  <c r="BA42" i="88" s="1"/>
  <c r="U54" i="88" l="1"/>
  <c r="BM54" i="88" s="1"/>
  <c r="AP54" i="88" s="1"/>
  <c r="Y50" i="88"/>
  <c r="BQ50" i="88" s="1"/>
  <c r="AT50" i="88" s="1"/>
  <c r="AK38" i="88"/>
  <c r="CC38" i="88" s="1"/>
  <c r="BF38" i="88" s="1"/>
  <c r="AD45" i="88"/>
  <c r="BV45" i="88" s="1"/>
  <c r="AY45" i="88" s="1"/>
  <c r="AG42" i="88"/>
  <c r="BY42" i="88" s="1"/>
  <c r="BB42" i="88" s="1"/>
  <c r="AF43" i="88"/>
  <c r="BX43" i="88" s="1"/>
  <c r="BA43" i="88" s="1"/>
  <c r="AI40" i="88"/>
  <c r="CA40" i="88" s="1"/>
  <c r="BD40" i="88" s="1"/>
  <c r="V53" i="88"/>
  <c r="BN53" i="88" s="1"/>
  <c r="AQ53" i="88" s="1"/>
  <c r="W52" i="88"/>
  <c r="BO52" i="88" s="1"/>
  <c r="AR52" i="88" s="1"/>
  <c r="AC46" i="88"/>
  <c r="BU46" i="88" s="1"/>
  <c r="AX46" i="88" s="1"/>
  <c r="X51" i="88"/>
  <c r="BP51" i="88" s="1"/>
  <c r="AS51" i="88" s="1"/>
  <c r="AE44" i="88"/>
  <c r="BW44" i="88" s="1"/>
  <c r="AZ44" i="88" s="1"/>
  <c r="AA48" i="88"/>
  <c r="BS48" i="88" s="1"/>
  <c r="AV48" i="88" s="1"/>
  <c r="AB47" i="88"/>
  <c r="BT47" i="88" s="1"/>
  <c r="AW47" i="88" s="1"/>
  <c r="AL37" i="88"/>
  <c r="CD37" i="88" s="1"/>
  <c r="BG37" i="88" s="1"/>
  <c r="Z49" i="88"/>
  <c r="BR49" i="88" s="1"/>
  <c r="AU49" i="88" s="1"/>
  <c r="AM36" i="88"/>
  <c r="CE36" i="88" s="1"/>
  <c r="BH36" i="88" s="1"/>
  <c r="AH41" i="88"/>
  <c r="BZ41" i="88" s="1"/>
  <c r="BC41" i="88" s="1"/>
  <c r="AJ39" i="88"/>
  <c r="CB39" i="88" s="1"/>
  <c r="BE39" i="88" s="1"/>
  <c r="AG43" i="88" l="1"/>
  <c r="BY43" i="88" s="1"/>
  <c r="BB43" i="88" s="1"/>
  <c r="AA49" i="88"/>
  <c r="BS49" i="88" s="1"/>
  <c r="AV49" i="88" s="1"/>
  <c r="AF44" i="88"/>
  <c r="BX44" i="88" s="1"/>
  <c r="BA44" i="88" s="1"/>
  <c r="AK39" i="88"/>
  <c r="CC39" i="88" s="1"/>
  <c r="BF39" i="88" s="1"/>
  <c r="Z50" i="88"/>
  <c r="BR50" i="88" s="1"/>
  <c r="AU50" i="88" s="1"/>
  <c r="AB48" i="88"/>
  <c r="BT48" i="88" s="1"/>
  <c r="AW48" i="88" s="1"/>
  <c r="AH42" i="88"/>
  <c r="BZ42" i="88" s="1"/>
  <c r="BC42" i="88" s="1"/>
  <c r="AJ40" i="88"/>
  <c r="CB40" i="88" s="1"/>
  <c r="BE40" i="88" s="1"/>
  <c r="X52" i="88"/>
  <c r="BP52" i="88" s="1"/>
  <c r="AS52" i="88" s="1"/>
  <c r="AD46" i="88"/>
  <c r="BV46" i="88" s="1"/>
  <c r="AY46" i="88" s="1"/>
  <c r="V54" i="88"/>
  <c r="BN54" i="88" s="1"/>
  <c r="AQ54" i="88" s="1"/>
  <c r="AE45" i="88"/>
  <c r="BW45" i="88" s="1"/>
  <c r="AZ45" i="88" s="1"/>
  <c r="AL38" i="88"/>
  <c r="CD38" i="88" s="1"/>
  <c r="BG38" i="88" s="1"/>
  <c r="W53" i="88"/>
  <c r="BO53" i="88" s="1"/>
  <c r="AR53" i="88" s="1"/>
  <c r="AM37" i="88"/>
  <c r="CE37" i="88" s="1"/>
  <c r="BH37" i="88" s="1"/>
  <c r="AI41" i="88"/>
  <c r="CA41" i="88" s="1"/>
  <c r="BD41" i="88" s="1"/>
  <c r="AC47" i="88"/>
  <c r="BU47" i="88" s="1"/>
  <c r="AX47" i="88" s="1"/>
  <c r="Y51" i="88"/>
  <c r="BQ51" i="88" s="1"/>
  <c r="AT51" i="88" s="1"/>
  <c r="AD47" i="88" l="1"/>
  <c r="BV47" i="88" s="1"/>
  <c r="AY47" i="88" s="1"/>
  <c r="Z51" i="88"/>
  <c r="BR51" i="88" s="1"/>
  <c r="AU51" i="88" s="1"/>
  <c r="AG44" i="88"/>
  <c r="BY44" i="88" s="1"/>
  <c r="BB44" i="88" s="1"/>
  <c r="AB49" i="88"/>
  <c r="BT49" i="88" s="1"/>
  <c r="AW49" i="88" s="1"/>
  <c r="AE46" i="88"/>
  <c r="BW46" i="88" s="1"/>
  <c r="AZ46" i="88" s="1"/>
  <c r="AI42" i="88"/>
  <c r="CA42" i="88" s="1"/>
  <c r="BD42" i="88" s="1"/>
  <c r="AF45" i="88"/>
  <c r="BX45" i="88" s="1"/>
  <c r="BA45" i="88" s="1"/>
  <c r="AK40" i="88"/>
  <c r="CC40" i="88" s="1"/>
  <c r="BF40" i="88" s="1"/>
  <c r="W54" i="88"/>
  <c r="BO54" i="88" s="1"/>
  <c r="AR54" i="88" s="1"/>
  <c r="AH43" i="88"/>
  <c r="BZ43" i="88" s="1"/>
  <c r="BC43" i="88" s="1"/>
  <c r="AM38" i="88"/>
  <c r="CE38" i="88" s="1"/>
  <c r="BH38" i="88" s="1"/>
  <c r="X53" i="88"/>
  <c r="BP53" i="88" s="1"/>
  <c r="AS53" i="88" s="1"/>
  <c r="AA50" i="88"/>
  <c r="BS50" i="88" s="1"/>
  <c r="AV50" i="88" s="1"/>
  <c r="AL39" i="88"/>
  <c r="CD39" i="88" s="1"/>
  <c r="BG39" i="88" s="1"/>
  <c r="Y52" i="88"/>
  <c r="BQ52" i="88" s="1"/>
  <c r="AT52" i="88" s="1"/>
  <c r="AJ41" i="88"/>
  <c r="CB41" i="88" s="1"/>
  <c r="BE41" i="88" s="1"/>
  <c r="AC48" i="88"/>
  <c r="BU48" i="88" s="1"/>
  <c r="AX48" i="88" s="1"/>
  <c r="AB50" i="88" l="1"/>
  <c r="BT50" i="88" s="1"/>
  <c r="AW50" i="88" s="1"/>
  <c r="AC49" i="88"/>
  <c r="BU49" i="88" s="1"/>
  <c r="AX49" i="88" s="1"/>
  <c r="AK41" i="88"/>
  <c r="CC41" i="88" s="1"/>
  <c r="BF41" i="88" s="1"/>
  <c r="AA51" i="88"/>
  <c r="BS51" i="88" s="1"/>
  <c r="AV51" i="88" s="1"/>
  <c r="AI43" i="88"/>
  <c r="CA43" i="88" s="1"/>
  <c r="BD43" i="88" s="1"/>
  <c r="AF46" i="88"/>
  <c r="BX46" i="88" s="1"/>
  <c r="BA46" i="88" s="1"/>
  <c r="Y53" i="88"/>
  <c r="BQ53" i="88" s="1"/>
  <c r="AT53" i="88" s="1"/>
  <c r="AE47" i="88"/>
  <c r="BW47" i="88" s="1"/>
  <c r="AZ47" i="88" s="1"/>
  <c r="AG45" i="88"/>
  <c r="BY45" i="88" s="1"/>
  <c r="BB45" i="88" s="1"/>
  <c r="AD48" i="88"/>
  <c r="BV48" i="88" s="1"/>
  <c r="AY48" i="88" s="1"/>
  <c r="AH44" i="88"/>
  <c r="BZ44" i="88" s="1"/>
  <c r="BC44" i="88" s="1"/>
  <c r="AL40" i="88"/>
  <c r="CD40" i="88" s="1"/>
  <c r="BG40" i="88" s="1"/>
  <c r="AJ42" i="88"/>
  <c r="CB42" i="88" s="1"/>
  <c r="BE42" i="88" s="1"/>
  <c r="Z52" i="88"/>
  <c r="BR52" i="88" s="1"/>
  <c r="AU52" i="88" s="1"/>
  <c r="X54" i="88"/>
  <c r="BP54" i="88" s="1"/>
  <c r="AS54" i="88" s="1"/>
  <c r="AM39" i="88"/>
  <c r="CE39" i="88" s="1"/>
  <c r="BH39" i="88" s="1"/>
  <c r="AL41" i="88" l="1"/>
  <c r="CD41" i="88" s="1"/>
  <c r="BG41" i="88" s="1"/>
  <c r="AG46" i="88"/>
  <c r="BY46" i="88" s="1"/>
  <c r="BB46" i="88" s="1"/>
  <c r="AH45" i="88"/>
  <c r="BZ45" i="88" s="1"/>
  <c r="BC45" i="88" s="1"/>
  <c r="AI44" i="88"/>
  <c r="CA44" i="88" s="1"/>
  <c r="BD44" i="88" s="1"/>
  <c r="Y54" i="88"/>
  <c r="BQ54" i="88" s="1"/>
  <c r="AT54" i="88" s="1"/>
  <c r="AM40" i="88"/>
  <c r="CE40" i="88" s="1"/>
  <c r="BH40" i="88" s="1"/>
  <c r="AK42" i="88"/>
  <c r="CC42" i="88" s="1"/>
  <c r="BF42" i="88" s="1"/>
  <c r="AA52" i="88"/>
  <c r="BS52" i="88" s="1"/>
  <c r="AV52" i="88" s="1"/>
  <c r="AD49" i="88"/>
  <c r="BV49" i="88" s="1"/>
  <c r="AY49" i="88" s="1"/>
  <c r="AC50" i="88"/>
  <c r="BU50" i="88" s="1"/>
  <c r="AX50" i="88" s="1"/>
  <c r="Z53" i="88"/>
  <c r="BR53" i="88" s="1"/>
  <c r="AU53" i="88" s="1"/>
  <c r="AE48" i="88"/>
  <c r="BW48" i="88" s="1"/>
  <c r="AZ48" i="88" s="1"/>
  <c r="AF47" i="88"/>
  <c r="BX47" i="88" s="1"/>
  <c r="BA47" i="88" s="1"/>
  <c r="AB51" i="88"/>
  <c r="BT51" i="88" s="1"/>
  <c r="AW51" i="88" s="1"/>
  <c r="AJ43" i="88"/>
  <c r="CB43" i="88" s="1"/>
  <c r="BE43" i="88" s="1"/>
  <c r="AG47" i="88" l="1"/>
  <c r="BY47" i="88" s="1"/>
  <c r="BB47" i="88" s="1"/>
  <c r="AC51" i="88"/>
  <c r="BU51" i="88" s="1"/>
  <c r="AX51" i="88" s="1"/>
  <c r="Z54" i="88"/>
  <c r="BR54" i="88" s="1"/>
  <c r="AU54" i="88" s="1"/>
  <c r="AA53" i="88"/>
  <c r="BS53" i="88" s="1"/>
  <c r="AV53" i="88" s="1"/>
  <c r="AD50" i="88"/>
  <c r="BV50" i="88" s="1"/>
  <c r="AY50" i="88" s="1"/>
  <c r="AJ44" i="88"/>
  <c r="CB44" i="88" s="1"/>
  <c r="BE44" i="88" s="1"/>
  <c r="AF48" i="88"/>
  <c r="BX48" i="88" s="1"/>
  <c r="BA48" i="88" s="1"/>
  <c r="AI45" i="88"/>
  <c r="CA45" i="88" s="1"/>
  <c r="BD45" i="88" s="1"/>
  <c r="AM41" i="88"/>
  <c r="CE41" i="88" s="1"/>
  <c r="BH41" i="88" s="1"/>
  <c r="AL42" i="88"/>
  <c r="CD42" i="88" s="1"/>
  <c r="BG42" i="88" s="1"/>
  <c r="AB52" i="88"/>
  <c r="BT52" i="88" s="1"/>
  <c r="AW52" i="88" s="1"/>
  <c r="AE49" i="88"/>
  <c r="BW49" i="88" s="1"/>
  <c r="AZ49" i="88" s="1"/>
  <c r="AK43" i="88"/>
  <c r="CC43" i="88" s="1"/>
  <c r="BF43" i="88" s="1"/>
  <c r="AH46" i="88"/>
  <c r="BZ46" i="88" s="1"/>
  <c r="BC46" i="88" s="1"/>
  <c r="AE50" i="88" l="1"/>
  <c r="BW50" i="88" s="1"/>
  <c r="AZ50" i="88" s="1"/>
  <c r="AA54" i="88"/>
  <c r="BS54" i="88" s="1"/>
  <c r="AV54" i="88" s="1"/>
  <c r="AB53" i="88"/>
  <c r="BT53" i="88" s="1"/>
  <c r="AW53" i="88" s="1"/>
  <c r="AK44" i="88"/>
  <c r="CC44" i="88" s="1"/>
  <c r="BF44" i="88" s="1"/>
  <c r="AD51" i="88"/>
  <c r="BV51" i="88" s="1"/>
  <c r="AY51" i="88" s="1"/>
  <c r="AJ45" i="88"/>
  <c r="CB45" i="88" s="1"/>
  <c r="BE45" i="88" s="1"/>
  <c r="AI46" i="88"/>
  <c r="CA46" i="88" s="1"/>
  <c r="BD46" i="88" s="1"/>
  <c r="AF49" i="88"/>
  <c r="BX49" i="88" s="1"/>
  <c r="BA49" i="88" s="1"/>
  <c r="AM42" i="88"/>
  <c r="CE42" i="88" s="1"/>
  <c r="BH42" i="88" s="1"/>
  <c r="AL43" i="88"/>
  <c r="CD43" i="88" s="1"/>
  <c r="BG43" i="88" s="1"/>
  <c r="AH47" i="88"/>
  <c r="BZ47" i="88" s="1"/>
  <c r="BC47" i="88" s="1"/>
  <c r="AC52" i="88"/>
  <c r="BU52" i="88" s="1"/>
  <c r="AX52" i="88" s="1"/>
  <c r="AG48" i="88"/>
  <c r="BY48" i="88" s="1"/>
  <c r="BB48" i="88" s="1"/>
  <c r="AM43" i="88" l="1"/>
  <c r="CE43" i="88" s="1"/>
  <c r="BH43" i="88" s="1"/>
  <c r="AI47" i="88"/>
  <c r="CA47" i="88" s="1"/>
  <c r="BD47" i="88" s="1"/>
  <c r="AH48" i="88"/>
  <c r="BZ48" i="88" s="1"/>
  <c r="BC48" i="88" s="1"/>
  <c r="AJ46" i="88"/>
  <c r="CB46" i="88" s="1"/>
  <c r="BE46" i="88" s="1"/>
  <c r="AD52" i="88"/>
  <c r="BV52" i="88" s="1"/>
  <c r="AY52" i="88" s="1"/>
  <c r="AL44" i="88"/>
  <c r="CD44" i="88" s="1"/>
  <c r="BG44" i="88" s="1"/>
  <c r="AK45" i="88"/>
  <c r="CC45" i="88" s="1"/>
  <c r="BF45" i="88" s="1"/>
  <c r="AB54" i="88"/>
  <c r="BT54" i="88" s="1"/>
  <c r="AW54" i="88" s="1"/>
  <c r="AG49" i="88"/>
  <c r="BY49" i="88" s="1"/>
  <c r="BB49" i="88" s="1"/>
  <c r="AF50" i="88"/>
  <c r="BX50" i="88" s="1"/>
  <c r="BA50" i="88" s="1"/>
  <c r="AC53" i="88"/>
  <c r="BU53" i="88" s="1"/>
  <c r="AX53" i="88" s="1"/>
  <c r="AE51" i="88"/>
  <c r="BW51" i="88" s="1"/>
  <c r="AZ51" i="88" s="1"/>
  <c r="AG50" i="88" l="1"/>
  <c r="BY50" i="88" s="1"/>
  <c r="BB50" i="88" s="1"/>
  <c r="AJ47" i="88"/>
  <c r="CB47" i="88" s="1"/>
  <c r="BE47" i="88" s="1"/>
  <c r="AL45" i="88"/>
  <c r="CD45" i="88" s="1"/>
  <c r="BG45" i="88" s="1"/>
  <c r="AC54" i="88"/>
  <c r="BU54" i="88" s="1"/>
  <c r="AX54" i="88" s="1"/>
  <c r="AH49" i="88"/>
  <c r="BZ49" i="88" s="1"/>
  <c r="BC49" i="88" s="1"/>
  <c r="AF51" i="88"/>
  <c r="BX51" i="88" s="1"/>
  <c r="BA51" i="88" s="1"/>
  <c r="AE52" i="88"/>
  <c r="BW52" i="88" s="1"/>
  <c r="AZ52" i="88" s="1"/>
  <c r="AK46" i="88"/>
  <c r="CC46" i="88" s="1"/>
  <c r="BF46" i="88" s="1"/>
  <c r="AD53" i="88"/>
  <c r="BV53" i="88" s="1"/>
  <c r="AY53" i="88" s="1"/>
  <c r="AM44" i="88"/>
  <c r="CE44" i="88" s="1"/>
  <c r="BH44" i="88" s="1"/>
  <c r="AI48" i="88"/>
  <c r="CA48" i="88" s="1"/>
  <c r="BD48" i="88" s="1"/>
  <c r="AF52" i="88" l="1"/>
  <c r="BX52" i="88" s="1"/>
  <c r="BA52" i="88" s="1"/>
  <c r="AG51" i="88"/>
  <c r="BY51" i="88" s="1"/>
  <c r="BB51" i="88" s="1"/>
  <c r="AD54" i="88"/>
  <c r="BV54" i="88" s="1"/>
  <c r="AY54" i="88" s="1"/>
  <c r="AJ48" i="88"/>
  <c r="CB48" i="88" s="1"/>
  <c r="BE48" i="88" s="1"/>
  <c r="AL46" i="88"/>
  <c r="CD46" i="88" s="1"/>
  <c r="BG46" i="88" s="1"/>
  <c r="AE53" i="88"/>
  <c r="BW53" i="88" s="1"/>
  <c r="AZ53" i="88" s="1"/>
  <c r="AM45" i="88"/>
  <c r="CE45" i="88" s="1"/>
  <c r="BH45" i="88" s="1"/>
  <c r="AI49" i="88"/>
  <c r="CA49" i="88" s="1"/>
  <c r="BD49" i="88" s="1"/>
  <c r="AH50" i="88"/>
  <c r="BZ50" i="88" s="1"/>
  <c r="BC50" i="88" s="1"/>
  <c r="AK47" i="88"/>
  <c r="CC47" i="88" s="1"/>
  <c r="BF47" i="88" s="1"/>
  <c r="AG52" i="88" l="1"/>
  <c r="BY52" i="88" s="1"/>
  <c r="BB52" i="88" s="1"/>
  <c r="AF53" i="88"/>
  <c r="BX53" i="88" s="1"/>
  <c r="BA53" i="88" s="1"/>
  <c r="AK48" i="88"/>
  <c r="CC48" i="88" s="1"/>
  <c r="BF48" i="88" s="1"/>
  <c r="AJ49" i="88"/>
  <c r="CB49" i="88" s="1"/>
  <c r="BE49" i="88" s="1"/>
  <c r="AI50" i="88"/>
  <c r="CA50" i="88" s="1"/>
  <c r="BD50" i="88" s="1"/>
  <c r="AH51" i="88"/>
  <c r="BZ51" i="88" s="1"/>
  <c r="BC51" i="88" s="1"/>
  <c r="AE54" i="88"/>
  <c r="BW54" i="88" s="1"/>
  <c r="AZ54" i="88" s="1"/>
  <c r="AM46" i="88"/>
  <c r="CE46" i="88" s="1"/>
  <c r="BH46" i="88" s="1"/>
  <c r="AL47" i="88"/>
  <c r="CD47" i="88" s="1"/>
  <c r="BG47" i="88" s="1"/>
  <c r="AL48" i="88" l="1"/>
  <c r="CD48" i="88" s="1"/>
  <c r="BG48" i="88" s="1"/>
  <c r="AJ50" i="88"/>
  <c r="CB50" i="88" s="1"/>
  <c r="BE50" i="88" s="1"/>
  <c r="AM47" i="88"/>
  <c r="CE47" i="88" s="1"/>
  <c r="BH47" i="88" s="1"/>
  <c r="AI51" i="88"/>
  <c r="CA51" i="88" s="1"/>
  <c r="BD51" i="88" s="1"/>
  <c r="AG53" i="88"/>
  <c r="BY53" i="88" s="1"/>
  <c r="BB53" i="88" s="1"/>
  <c r="AF54" i="88"/>
  <c r="BX54" i="88" s="1"/>
  <c r="BA54" i="88" s="1"/>
  <c r="AH52" i="88"/>
  <c r="BZ52" i="88" s="1"/>
  <c r="BC52" i="88" s="1"/>
  <c r="AK49" i="88"/>
  <c r="CC49" i="88" s="1"/>
  <c r="BF49" i="88" s="1"/>
  <c r="AI52" i="88" l="1"/>
  <c r="CA52" i="88" s="1"/>
  <c r="BD52" i="88" s="1"/>
  <c r="AK50" i="88"/>
  <c r="CC50" i="88" s="1"/>
  <c r="BF50" i="88" s="1"/>
  <c r="AJ51" i="88"/>
  <c r="CB51" i="88" s="1"/>
  <c r="BE51" i="88" s="1"/>
  <c r="AH53" i="88"/>
  <c r="BZ53" i="88" s="1"/>
  <c r="BC53" i="88" s="1"/>
  <c r="AG54" i="88"/>
  <c r="BY54" i="88" s="1"/>
  <c r="BB54" i="88" s="1"/>
  <c r="AM48" i="88"/>
  <c r="CE48" i="88" s="1"/>
  <c r="BH48" i="88" s="1"/>
  <c r="AL49" i="88"/>
  <c r="CD49" i="88" s="1"/>
  <c r="BG49" i="88" s="1"/>
  <c r="AJ52" i="88" l="1"/>
  <c r="CB52" i="88" s="1"/>
  <c r="BE52" i="88" s="1"/>
  <c r="AH54" i="88"/>
  <c r="BZ54" i="88" s="1"/>
  <c r="BC54" i="88" s="1"/>
  <c r="AI53" i="88"/>
  <c r="CA53" i="88" s="1"/>
  <c r="BD53" i="88" s="1"/>
  <c r="AL50" i="88"/>
  <c r="CD50" i="88" s="1"/>
  <c r="BG50" i="88" s="1"/>
  <c r="AM49" i="88"/>
  <c r="CE49" i="88" s="1"/>
  <c r="BH49" i="88" s="1"/>
  <c r="AK51" i="88"/>
  <c r="CC51" i="88" s="1"/>
  <c r="BF51" i="88" s="1"/>
  <c r="AL51" i="88" l="1"/>
  <c r="CD51" i="88" s="1"/>
  <c r="BG51" i="88" s="1"/>
  <c r="AJ53" i="88"/>
  <c r="CB53" i="88" s="1"/>
  <c r="BE53" i="88" s="1"/>
  <c r="AI54" i="88"/>
  <c r="CA54" i="88" s="1"/>
  <c r="BD54" i="88" s="1"/>
  <c r="AK52" i="88"/>
  <c r="CC52" i="88" s="1"/>
  <c r="BF52" i="88" s="1"/>
  <c r="AM50" i="88"/>
  <c r="CE50" i="88" s="1"/>
  <c r="BH50" i="88" s="1"/>
  <c r="AK53" i="88" l="1"/>
  <c r="CC53" i="88" s="1"/>
  <c r="BF53" i="88" s="1"/>
  <c r="AJ54" i="88"/>
  <c r="CB54" i="88" s="1"/>
  <c r="BE54" i="88" s="1"/>
  <c r="AM51" i="88"/>
  <c r="CE51" i="88" s="1"/>
  <c r="BH51" i="88" s="1"/>
  <c r="AL52" i="88"/>
  <c r="CD52" i="88" s="1"/>
  <c r="BG52" i="88" s="1"/>
  <c r="AL53" i="88" l="1"/>
  <c r="CD53" i="88" s="1"/>
  <c r="BG53" i="88" s="1"/>
  <c r="AK54" i="88"/>
  <c r="CC54" i="88" s="1"/>
  <c r="BF54" i="88" s="1"/>
  <c r="AM52" i="88"/>
  <c r="CE52" i="88" s="1"/>
  <c r="BH52" i="88" s="1"/>
  <c r="AM53" i="88" l="1"/>
  <c r="CE53" i="88" s="1"/>
  <c r="BH53" i="88" s="1"/>
  <c r="AL54" i="88"/>
  <c r="CD54" i="88" s="1"/>
  <c r="BG54" i="88" s="1"/>
  <c r="AM54" i="88" l="1"/>
  <c r="CE54" i="88" s="1"/>
  <c r="BH54" i="88" s="1"/>
  <c r="B4" i="90" l="1"/>
</calcChain>
</file>

<file path=xl/comments1.xml><?xml version="1.0" encoding="utf-8"?>
<comments xmlns="http://schemas.openxmlformats.org/spreadsheetml/2006/main">
  <authors>
    <author>Lachance-Perreault, Antoine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Lachance-Perreault, Antoine:</t>
        </r>
        <r>
          <rPr>
            <sz val="8"/>
            <color indexed="81"/>
            <rFont val="Tahoma"/>
            <family val="2"/>
          </rPr>
          <t xml:space="preserve">
Sub list()
Dim sht As Worksheet
Dim cell As Range
For Each sht In ThisWorkbook.Sheets
If sht.Name &lt;&gt; "Équivalences" Then
    For Each cell In sht.UsedRange
        If Not IsNumeric(cell.Value) Then
            ThisWorkbook.Sheets("Équivalences").Cells(Rows.Count, "A").End(xlUp).Offset(1, 2).Value = cell.Value
            ThisWorkbook.Sheets("Équivalences").Cells(Rows.Count, "A").End(xlUp).Offset(1, 1).Value = cell.Address
            ThisWorkbook.Sheets("Équivalences").Cells(Rows.Count, "A").End(xlUp).Offset(1, 0).Value = cell.Parent.Name
        End If
    Next cell
End If
Next sht
End Sub</t>
        </r>
      </text>
    </comment>
    <comment ref="D1" authorId="0">
      <text>
        <r>
          <rPr>
            <b/>
            <sz val="8"/>
            <color indexed="81"/>
            <rFont val="Tahoma"/>
            <family val="2"/>
          </rPr>
          <t>Lachance-Perreault, Antoine:</t>
        </r>
        <r>
          <rPr>
            <sz val="8"/>
            <color indexed="81"/>
            <rFont val="Tahoma"/>
            <family val="2"/>
          </rPr>
          <t xml:space="preserve">
Sub getFr()
Dim shtFr As Worksheet, sht As Worksheet, equi As Worksheet
Dim errNo As Integer
Dim cell As Range
Set equi = ThisWorkbook.Sheets("Équivalences")
For Each cell In equi.Range("A2", equi.Cells(Rows.Count, "A").End(xlUp).Address)
    On Error Resume Next
        Set shtFr = Workbooks("Base Scenario Appendix CLIFR - scénario de base appendice CRFCAV traduction.xlsx").Sheets(cell.Value)
        errNo = Err.Number
    On Error GoTo 0
    If errNo = 0 Then cell.Offset(0, 3).Value = shtFr.Range(cell.Offset(0, 1).Value).Value
Next cell
End Sub
</t>
        </r>
      </text>
    </comment>
    <comment ref="E1" authorId="0">
      <text>
        <r>
          <rPr>
            <b/>
            <sz val="8"/>
            <color indexed="81"/>
            <rFont val="Tahoma"/>
            <family val="2"/>
          </rPr>
          <t>Lachance-Perreault, Antoine:</t>
        </r>
        <r>
          <rPr>
            <sz val="8"/>
            <color indexed="81"/>
            <rFont val="Tahoma"/>
            <family val="2"/>
          </rPr>
          <t xml:space="preserve">
Sub f()
Dim cell As Range
Dim sht As Worksheet
Dim equi As Range
Set equi = ThisWorkbook.Sheets("Équivalences").Range("C2", "D400")
For Each sht In ThisWorkbook.Sheets
If sht.Name &lt;&gt; "Équivalences" Then
    For Each cell In sht.UsedRange
        If Not IsNumeric(cell.Value) Then
            cell.Formula = "=index(" &amp; "'" &amp; Split(equi.Address(, , xlR1C1, True), "]")(1) &amp; ",match(""" &amp; cell.Value &amp; """," &amp; "'" &amp; Split(equi.Columns(1).Address(, , xlR1C1, True), "]")(1) &amp; ",0), langue)"
        End If
    Next cell
End If
Next sht
End Sub
</t>
        </r>
      </text>
    </comment>
  </commentList>
</comments>
</file>

<file path=xl/sharedStrings.xml><?xml version="1.0" encoding="utf-8"?>
<sst xmlns="http://schemas.openxmlformats.org/spreadsheetml/2006/main" count="886" uniqueCount="425">
  <si>
    <t>Description</t>
  </si>
  <si>
    <t>Scenario</t>
  </si>
  <si>
    <t>Yr (eoy)</t>
  </si>
  <si>
    <t xml:space="preserve"> = Smoothly interpolated rates</t>
  </si>
  <si>
    <t>Notes</t>
  </si>
  <si>
    <t>1-yr</t>
  </si>
  <si>
    <t>Spots</t>
  </si>
  <si>
    <t>20-yr</t>
  </si>
  <si>
    <t>Formula 2:</t>
  </si>
  <si>
    <t>Formula 3:</t>
  </si>
  <si>
    <t>Formula 1:</t>
  </si>
  <si>
    <t>A sample process is outlined below; sample 1- and 20-year rates are illustrated at right.</t>
  </si>
  <si>
    <t>Par Yields, Spot Rates, Forward Spots, and Forward Par Yields</t>
  </si>
  <si>
    <t>Construction of Implied Forward Par Yield Curves - Steps</t>
  </si>
  <si>
    <t>Illustration: 1- and 20-yr Terms</t>
  </si>
  <si>
    <t>Step 2: Interpolate the par yield curve where yields are not directly available.</t>
  </si>
  <si>
    <t>Step 3: Derive the equivalent spot rate curve using Formula 1.</t>
  </si>
  <si>
    <t>Step 5: Derive the implied forward spots using Formula 2.</t>
  </si>
  <si>
    <t>Step 6: Determine the equivalent implied forward par yields using Formula 3.</t>
  </si>
  <si>
    <t>Par</t>
  </si>
  <si>
    <t>Adj Spot</t>
  </si>
  <si>
    <t>Par Yields</t>
  </si>
  <si>
    <t>all rates annualized</t>
  </si>
  <si>
    <t>Implied Forwards by Year</t>
  </si>
  <si>
    <t>Term</t>
  </si>
  <si>
    <t>30%*20 yr +70%*60 yr</t>
  </si>
  <si>
    <t>Median URR (4%/5.3%)</t>
  </si>
  <si>
    <t>High</t>
  </si>
  <si>
    <t>URR Low</t>
  </si>
  <si>
    <t>Oscillation</t>
  </si>
  <si>
    <t>Row</t>
  </si>
  <si>
    <t>Point</t>
  </si>
  <si>
    <t>Current</t>
  </si>
  <si>
    <t>Implied Forwards for first 20 years</t>
  </si>
  <si>
    <t>Uniform Transition</t>
  </si>
  <si>
    <t>Base Interest Rate Scenario (forward rates for first 20 years based on the current yield curve; Nodal point at Year 40; Prescribed Median by Year 60)</t>
  </si>
  <si>
    <t>Projection Year</t>
  </si>
  <si>
    <t>(For Chart)</t>
  </si>
  <si>
    <t>URR High</t>
  </si>
  <si>
    <t>Projection</t>
  </si>
  <si>
    <t>21-39</t>
  </si>
  <si>
    <t>41-59</t>
  </si>
  <si>
    <t>Step 4: Beyond year 20, calculate an adjusted spot rate by using a uniform</t>
  </si>
  <si>
    <t>transition from the spot rate in year 20 to the median long-term ultimate risk-free</t>
  </si>
  <si>
    <t xml:space="preserve">1. Spot rate begins to grade to Median URR = </t>
  </si>
  <si>
    <t>3. For each term, only the first 20 forwards are used in the Base Scenario.</t>
  </si>
  <si>
    <t>Gov Par Yield Curves (annualized)</t>
  </si>
  <si>
    <t>Base Scenario and Projection Year</t>
  </si>
  <si>
    <t>Example of Scenario</t>
  </si>
  <si>
    <t>Base</t>
  </si>
  <si>
    <t>0-20</t>
  </si>
  <si>
    <t>60+</t>
  </si>
  <si>
    <t>Description of Scenario by Projection Year</t>
  </si>
  <si>
    <t>Observed Rates by Term</t>
  </si>
  <si>
    <t>2-yr</t>
  </si>
  <si>
    <t>3-yr</t>
  </si>
  <si>
    <t>4-yr</t>
  </si>
  <si>
    <t>5-yr</t>
  </si>
  <si>
    <t>6-yr</t>
  </si>
  <si>
    <t>7-yr</t>
  </si>
  <si>
    <t>8-yr</t>
  </si>
  <si>
    <t>9-yr</t>
  </si>
  <si>
    <t>10-yr</t>
  </si>
  <si>
    <t>11-yr</t>
  </si>
  <si>
    <t>12-yr</t>
  </si>
  <si>
    <t>13-yr</t>
  </si>
  <si>
    <t>14-yr</t>
  </si>
  <si>
    <t>15-yr</t>
  </si>
  <si>
    <t>16-yr</t>
  </si>
  <si>
    <t>17-yr</t>
  </si>
  <si>
    <t>18-yr</t>
  </si>
  <si>
    <t>19-yr</t>
  </si>
  <si>
    <t>Median URR</t>
  </si>
  <si>
    <t>as promulgated in Section 3.2 of CIA document #214046 (May 2014)</t>
  </si>
  <si>
    <t xml:space="preserve"> = Observed n-yr rate @ valuation date</t>
  </si>
  <si>
    <t xml:space="preserve"> = Implied n-yr forward par rates</t>
  </si>
  <si>
    <t>Annual Effective Yields to Maturity</t>
  </si>
  <si>
    <t>Observed n-year rate @ valn date:</t>
  </si>
  <si>
    <t xml:space="preserve"> = Ultimate or nodal rate (as promulgated for 1-yr and 20-yr, or developed for 2-19 year)</t>
  </si>
  <si>
    <t>1YR</t>
  </si>
  <si>
    <t>2YR</t>
  </si>
  <si>
    <t>3YR</t>
  </si>
  <si>
    <t>4YR</t>
  </si>
  <si>
    <t>5YR</t>
  </si>
  <si>
    <t>7YR</t>
  </si>
  <si>
    <t>10YR</t>
  </si>
  <si>
    <t>20YR</t>
  </si>
  <si>
    <t>30YR</t>
  </si>
  <si>
    <t>25YR</t>
  </si>
  <si>
    <t xml:space="preserve">Appendix A: Derivation of Forward Par Curve </t>
  </si>
  <si>
    <t>Current Par Yield Curve (Annualized Yields)</t>
  </si>
  <si>
    <t>Step 1: Obtain current par yield curve from an appropriate source</t>
  </si>
  <si>
    <t>CIA DISCLAIMER</t>
  </si>
  <si>
    <t>6YR</t>
  </si>
  <si>
    <t>8YR</t>
  </si>
  <si>
    <t>9YR</t>
  </si>
  <si>
    <t>11YR</t>
  </si>
  <si>
    <t>12YR</t>
  </si>
  <si>
    <t>13YR</t>
  </si>
  <si>
    <t>14YR</t>
  </si>
  <si>
    <t>15YR</t>
  </si>
  <si>
    <t>16YR</t>
  </si>
  <si>
    <t>17YR</t>
  </si>
  <si>
    <t>18YR</t>
  </si>
  <si>
    <t>19YR</t>
  </si>
  <si>
    <t>in accordance with the historical relationship between rates at those terms</t>
  </si>
  <si>
    <t>developed by the actuary per Standards of Practice 2330.09.02</t>
  </si>
  <si>
    <t>Promulgated/Developed URR (Yr 60)</t>
  </si>
  <si>
    <t>Inputs for Derivation of Forward Par Curve</t>
  </si>
  <si>
    <t>before choosing to use any of the material it contains.</t>
  </si>
  <si>
    <t>The CIA is not responsible for the accuracy of this spreadsheet, and users must rely on their own judgment and expertise</t>
  </si>
  <si>
    <t xml:space="preserve">L’ICA ne répond pas de l’exactitude du tableur et les utilisateurs doivent faire preuve de discernement et se référer à leur expertise </t>
  </si>
  <si>
    <t>avant de choisir d’utiliser le matériel qu’il renferme.</t>
  </si>
  <si>
    <t>1YR (short)</t>
  </si>
  <si>
    <t>20YR (long)</t>
  </si>
  <si>
    <t>Define a spot rate zn as the yield on a zero-coupon bond maturing in n periods.</t>
  </si>
  <si>
    <t>Given an observed par yield curve pn, the spot curve zn is derived recursively:</t>
  </si>
  <si>
    <t>an-1</t>
  </si>
  <si>
    <t xml:space="preserve">Define a forward spot F(n,m) as the zn on a zero purchased m periods from now. </t>
  </si>
  <si>
    <t>Given a spot curve zn, the implied Forward spots F(n,m) are derived via the relation:</t>
  </si>
  <si>
    <t>The corresponding forward par yields FP(n,m) are then derived via the formula</t>
  </si>
  <si>
    <t>reinvestment rate-median (longURRmedian) in year 80.</t>
  </si>
  <si>
    <t>2. For each term, the time-0 forward spot equals the observed spot for that term.</t>
  </si>
  <si>
    <t>$B$4</t>
  </si>
  <si>
    <t>$B$7</t>
  </si>
  <si>
    <t>$C$7</t>
  </si>
  <si>
    <t>$H$7</t>
  </si>
  <si>
    <t>$C$8</t>
  </si>
  <si>
    <t>$D$8</t>
  </si>
  <si>
    <t>$F$8</t>
  </si>
  <si>
    <t>$B$9</t>
  </si>
  <si>
    <t>$C$9</t>
  </si>
  <si>
    <t>$D$9</t>
  </si>
  <si>
    <t>$E$9</t>
  </si>
  <si>
    <t>$F$9</t>
  </si>
  <si>
    <t>$G$9</t>
  </si>
  <si>
    <t>$H$9</t>
  </si>
  <si>
    <t>$A$1</t>
  </si>
  <si>
    <t>$A$4</t>
  </si>
  <si>
    <t>$B$5</t>
  </si>
  <si>
    <t>$B$1</t>
  </si>
  <si>
    <t>$B$6</t>
  </si>
  <si>
    <t>$C$6</t>
  </si>
  <si>
    <t>$C$10</t>
  </si>
  <si>
    <t>$C$11</t>
  </si>
  <si>
    <t>$C$12</t>
  </si>
  <si>
    <t>$C$13</t>
  </si>
  <si>
    <t>$C$14</t>
  </si>
  <si>
    <t>$C$15</t>
  </si>
  <si>
    <t>$B$18</t>
  </si>
  <si>
    <t>$B$20</t>
  </si>
  <si>
    <t>$C$20</t>
  </si>
  <si>
    <t>$F$20</t>
  </si>
  <si>
    <t>$C$21</t>
  </si>
  <si>
    <t>$B$24</t>
  </si>
  <si>
    <t>$C$24</t>
  </si>
  <si>
    <t>$F$24</t>
  </si>
  <si>
    <t>$C$25</t>
  </si>
  <si>
    <t>$F$25</t>
  </si>
  <si>
    <t>$C$26</t>
  </si>
  <si>
    <t>$F$26</t>
  </si>
  <si>
    <t>$C$27</t>
  </si>
  <si>
    <t>$F$27</t>
  </si>
  <si>
    <t>$C$28</t>
  </si>
  <si>
    <t>$C$29</t>
  </si>
  <si>
    <t>$C$30</t>
  </si>
  <si>
    <t>$C$31</t>
  </si>
  <si>
    <t>$C$32</t>
  </si>
  <si>
    <t>$C$33</t>
  </si>
  <si>
    <t>$C$34</t>
  </si>
  <si>
    <t>$C$35</t>
  </si>
  <si>
    <t>$C$36</t>
  </si>
  <si>
    <t>$C$37</t>
  </si>
  <si>
    <t>$C$38</t>
  </si>
  <si>
    <t>$C$39</t>
  </si>
  <si>
    <t>$C$40</t>
  </si>
  <si>
    <t>$C$41</t>
  </si>
  <si>
    <t>$N$4</t>
  </si>
  <si>
    <t>$BH$4</t>
  </si>
  <si>
    <t>$O$6</t>
  </si>
  <si>
    <t>$T$6</t>
  </si>
  <si>
    <t>$T$7</t>
  </si>
  <si>
    <t>$AO$7</t>
  </si>
  <si>
    <t>$N$8</t>
  </si>
  <si>
    <t>$O$8</t>
  </si>
  <si>
    <t>$P$8</t>
  </si>
  <si>
    <t>$Q$8</t>
  </si>
  <si>
    <t>$R$8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</si>
  <si>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</si>
  <si>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</si>
  <si>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</si>
  <si>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</si>
  <si>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</si>
  <si>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</si>
  <si>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</si>
  <si>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</si>
  <si>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</si>
  <si>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</si>
  <si>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</si>
  <si>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</si>
  <si>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</si>
  <si>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</si>
  <si>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</si>
  <si>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</si>
  <si>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$AJ$8</t>
  </si>
  <si>
    <t>$AK$8</t>
  </si>
  <si>
    <t>$AL$8</t>
  </si>
  <si>
    <t>$AM$8</t>
  </si>
  <si>
    <t>$AO$8</t>
  </si>
  <si>
    <t>$AP$8</t>
  </si>
  <si>
    <t>$AQ$8</t>
  </si>
  <si>
    <t>$AR$8</t>
  </si>
  <si>
    <t>$AS$8</t>
  </si>
  <si>
    <t>$AT$8</t>
  </si>
  <si>
    <t>$AU$8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</si>
  <si>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</si>
  <si>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</si>
  <si>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</si>
  <si>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</si>
  <si>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</si>
  <si>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</si>
  <si>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</si>
  <si>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</si>
  <si>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$BD$8</t>
  </si>
  <si>
    <t>$BE$8</t>
  </si>
  <si>
    <t>$BF$8</t>
  </si>
  <si>
    <t>$BG$8</t>
  </si>
  <si>
    <t>$BH$8</t>
  </si>
  <si>
    <t>$BL$8</t>
  </si>
  <si>
    <t>$BM$8</t>
  </si>
  <si>
    <t>$BN$8</t>
  </si>
  <si>
    <t>$BO$8</t>
  </si>
  <si>
    <t>$BP$8</t>
  </si>
  <si>
    <t>$BQ$8</t>
  </si>
  <si>
    <t>$BR$8</t>
  </si>
  <si>
    <t>$BS$8</t>
  </si>
  <si>
    <t>$BT$8</t>
  </si>
  <si>
    <t>$BU$8</t>
  </si>
  <si>
    <t>$BV$8</t>
  </si>
  <si>
    <t>$BW$8</t>
  </si>
  <si>
    <t>$BX$8</t>
  </si>
  <si>
    <t>$BY$8</t>
  </si>
  <si>
    <t>$BZ$8</t>
  </si>
  <si>
    <t>$CA$8</t>
  </si>
  <si>
    <t>$CB$8</t>
  </si>
  <si>
    <t>$CC$8</t>
  </si>
  <si>
    <t>$CD$8</t>
  </si>
  <si>
    <t>$CE$8</t>
  </si>
  <si>
    <t>$B$14</t>
  </si>
  <si>
    <t>$B$15</t>
  </si>
  <si>
    <t>$B$17</t>
  </si>
  <si>
    <t>$B$21</t>
  </si>
  <si>
    <t>$B$23</t>
  </si>
  <si>
    <t>$B$27</t>
  </si>
  <si>
    <t>$B$32</t>
  </si>
  <si>
    <t>$B$34</t>
  </si>
  <si>
    <t>$B$36</t>
  </si>
  <si>
    <t>$B$38</t>
  </si>
  <si>
    <t>$B$40</t>
  </si>
  <si>
    <t>$B$41</t>
  </si>
  <si>
    <t>$B$42</t>
  </si>
  <si>
    <t>$B$44</t>
  </si>
  <si>
    <t>$B$46</t>
  </si>
  <si>
    <t>$B$50</t>
  </si>
  <si>
    <t>$B$52</t>
  </si>
  <si>
    <t>$B$53</t>
  </si>
  <si>
    <t>$B$54</t>
  </si>
  <si>
    <t>$C$2</t>
  </si>
  <si>
    <t>$C$3</t>
  </si>
  <si>
    <t>$C$4</t>
  </si>
  <si>
    <t>$AC$4</t>
  </si>
  <si>
    <t>$C$5</t>
  </si>
  <si>
    <t>$E$8</t>
  </si>
  <si>
    <t>$G$8</t>
  </si>
  <si>
    <t>$H$8</t>
  </si>
  <si>
    <t>$I$8</t>
  </si>
  <si>
    <t>$J$8</t>
  </si>
  <si>
    <t>$K$8</t>
  </si>
  <si>
    <t>$L$8</t>
  </si>
  <si>
    <t>$M$8</t>
  </si>
  <si>
    <t>$S$8</t>
  </si>
  <si>
    <t>$A$9</t>
  </si>
  <si>
    <t>$A$10</t>
  </si>
  <si>
    <t>$A$12</t>
  </si>
  <si>
    <t>$A$13</t>
  </si>
  <si>
    <t>$A$15</t>
  </si>
  <si>
    <t>$AE$15</t>
  </si>
  <si>
    <t>$AF$15</t>
  </si>
  <si>
    <t>$AG$15</t>
  </si>
  <si>
    <t>$AI$15</t>
  </si>
  <si>
    <t>$A$16</t>
  </si>
  <si>
    <t>$C$16</t>
  </si>
  <si>
    <t>$D$16</t>
  </si>
  <si>
    <t>$E$16</t>
  </si>
  <si>
    <t>$F$16</t>
  </si>
  <si>
    <t>$G$16</t>
  </si>
  <si>
    <t>$H$16</t>
  </si>
  <si>
    <t>$I$16</t>
  </si>
  <si>
    <t>$J$16</t>
  </si>
  <si>
    <t>$K$16</t>
  </si>
  <si>
    <t>$L$16</t>
  </si>
  <si>
    <t>$M$16</t>
  </si>
  <si>
    <t>$N$16</t>
  </si>
  <si>
    <t>$O$16</t>
  </si>
  <si>
    <t>$P$16</t>
  </si>
  <si>
    <t>$Q$16</t>
  </si>
  <si>
    <t>$R$16</t>
  </si>
  <si>
    <t>$S$16</t>
  </si>
  <si>
    <t>$T$16</t>
  </si>
  <si>
    <t>$U$16</t>
  </si>
  <si>
    <t>$V$16</t>
  </si>
  <si>
    <t>$AE$16</t>
  </si>
  <si>
    <t>$AF$16</t>
  </si>
  <si>
    <t>$AG$16</t>
  </si>
  <si>
    <t>$AI$16</t>
  </si>
  <si>
    <t>Scenario Description</t>
  </si>
  <si>
    <t>Note</t>
  </si>
  <si>
    <t>Input</t>
  </si>
  <si>
    <t>Derivation</t>
  </si>
  <si>
    <t>Output</t>
  </si>
  <si>
    <t>Chart</t>
  </si>
  <si>
    <t>Annexe A : Calcul de courbe de taux au pair et à terme - Normes de pratique 2014, note éducative révisée 2015</t>
  </si>
  <si>
    <t>Rendements au pair, taux immédiats, taux immédiats à terme, rendements au pair à terme</t>
  </si>
  <si>
    <t>Illustration : termes de 1 an et 20 ans</t>
  </si>
  <si>
    <t>Taux annualisés</t>
  </si>
  <si>
    <t>Taux à terme implicites par année</t>
  </si>
  <si>
    <t>À partir d'une courbe observée de rendements au pair pn, la courbe de taux immédiat zn est calculée de façon récursive :</t>
  </si>
  <si>
    <t>Immédiats</t>
  </si>
  <si>
    <t>Rendements au pair</t>
  </si>
  <si>
    <t>1 an</t>
  </si>
  <si>
    <t>20 ans</t>
  </si>
  <si>
    <t>Formule 1 :</t>
  </si>
  <si>
    <t xml:space="preserve">Le taux immédiat à terme F(n,m) est défini comme le zn d'une obligation sans coupon achetée m périodes à partir de maintenant. </t>
  </si>
  <si>
    <t>À partir d'une courbe de taux immédiat zn, les taux immédiats à terme implicites F(n,m) sont calculés au moyen de la relation :</t>
  </si>
  <si>
    <t>Formule 2 :</t>
  </si>
  <si>
    <t>Les rendements au pair à terme FP(n,m) correspondants sont ensuite calculés au moyen de la formule :</t>
  </si>
  <si>
    <t>Formule 3 :</t>
  </si>
  <si>
    <t>Un exemple du procédé est décrit ci­dessous; un exemple des taux 1 an et 20 ans est illustré ci­contre.</t>
  </si>
  <si>
    <t>Construction de la courbe des rendements au pair à terme implicites</t>
  </si>
  <si>
    <t>Étape 3 : Calculer la courbe des taux immédiats équivalente selon la Formule 1.</t>
  </si>
  <si>
    <t>Étape 4 : Au delà de la 20e année, calculer un taux immédiat ajusté en utilisant une transition uniforme</t>
  </si>
  <si>
    <t>du taux immédiat à l'année 20 vers le taux de réinvestissement ultime médian sans risque à long terme</t>
  </si>
  <si>
    <t xml:space="preserve"> (longTRRmédian) à l'année 80.</t>
  </si>
  <si>
    <t>Étape 5 : Calculer les taux immédiats à terme implicites selon la Formule 2.</t>
  </si>
  <si>
    <t xml:space="preserve">1. Le taux immédiat commence à converger vers le TRU médian = </t>
  </si>
  <si>
    <t>2. Pour chaque terme, le taux immédiat à terme de la période 0 correspond au taux immédiat observé.</t>
  </si>
  <si>
    <t>3. Pour chaque terme, seuls les 20 premiers taux à terme sont utilisés dans le scénario de base.</t>
  </si>
  <si>
    <t>Page</t>
  </si>
  <si>
    <t>Cellule</t>
  </si>
  <si>
    <t>Texte Anglais</t>
  </si>
  <si>
    <t>Texte Français</t>
  </si>
  <si>
    <t>Ultimate risk-free reinvestment rates at other terms would be determined</t>
  </si>
  <si>
    <t>and the short- and long-term rates</t>
  </si>
  <si>
    <t>Langue</t>
  </si>
  <si>
    <t>2 ans</t>
  </si>
  <si>
    <t>3 ans</t>
  </si>
  <si>
    <t>4 ans</t>
  </si>
  <si>
    <t>5 ans</t>
  </si>
  <si>
    <t>7 ans</t>
  </si>
  <si>
    <t>10 ans</t>
  </si>
  <si>
    <t>25 ans</t>
  </si>
  <si>
    <t>30 ans</t>
  </si>
  <si>
    <t>6 ans</t>
  </si>
  <si>
    <t>8 ans</t>
  </si>
  <si>
    <t>9 ans</t>
  </si>
  <si>
    <t>11 ans</t>
  </si>
  <si>
    <t>12 ans</t>
  </si>
  <si>
    <t>13 ans</t>
  </si>
  <si>
    <t>14 ans</t>
  </si>
  <si>
    <t>15 ans</t>
  </si>
  <si>
    <t>16 ans</t>
  </si>
  <si>
    <t>17 ans</t>
  </si>
  <si>
    <t>18 ans</t>
  </si>
  <si>
    <t>19 ans</t>
  </si>
  <si>
    <t>1-Year, 5-Year, 10-Year and 20-Year Government Annual Effective Yields to Maturity</t>
  </si>
  <si>
    <t>$B$10</t>
  </si>
  <si>
    <r>
      <t>Le taux immédiat z</t>
    </r>
    <r>
      <rPr>
        <vertAlign val="subscript"/>
        <sz val="10"/>
        <rFont val="Arial MT"/>
      </rPr>
      <t>n</t>
    </r>
    <r>
      <rPr>
        <sz val="10"/>
        <rFont val="Arial MT"/>
      </rPr>
      <t xml:space="preserve"> est défini comme le taux d'une obligation sans coupon ayant une échéance dans n périodes.</t>
    </r>
  </si>
  <si>
    <t>Étape 6 : Déterminer les rendements au pair à terme implicites équivalents au moyen de la formule 3.</t>
  </si>
  <si>
    <t xml:space="preserve"> = Taux n-ans observé à la date d'évaluation</t>
  </si>
  <si>
    <t>Année de projection</t>
  </si>
  <si>
    <t>(fin de période)</t>
  </si>
  <si>
    <t>Description de scénario par année de projection</t>
  </si>
  <si>
    <t>Scénario</t>
  </si>
  <si>
    <t>30%*20 ans +70%*60 ans</t>
  </si>
  <si>
    <t>TRU médian (4%/5,3%)</t>
  </si>
  <si>
    <t>'Scénario de base de taux d'intérêt (taux à terme pour les 20 premières années fondés sur la courbe de rendement actuelle; point nodal à l'année 40; taux médian prescrit à l'année 60)</t>
  </si>
  <si>
    <t>Terme</t>
  </si>
  <si>
    <r>
      <t>a</t>
    </r>
    <r>
      <rPr>
        <u/>
        <vertAlign val="subscript"/>
        <sz val="10"/>
        <rFont val="Arial Narrow"/>
        <family val="2"/>
      </rPr>
      <t>n-1</t>
    </r>
  </si>
  <si>
    <t>Taux observés par terme</t>
  </si>
  <si>
    <t>Taux de rendement annuel effectif jusqu'à échéance des obligations</t>
  </si>
  <si>
    <t>Taux n-années observé à date d'évaluation</t>
  </si>
  <si>
    <t>Scénario de base et année de projection</t>
  </si>
  <si>
    <t xml:space="preserve"> = Taux n-ans au pair à terme implicite</t>
  </si>
  <si>
    <t xml:space="preserve"> = Taux interpolés avec lissage</t>
  </si>
  <si>
    <t xml:space="preserve"> = Taux ultime ou nodal</t>
  </si>
  <si>
    <t>(Pour Graph)</t>
  </si>
  <si>
    <t>(Pour graph)</t>
  </si>
  <si>
    <t>TRU bas</t>
  </si>
  <si>
    <t>TRU haut</t>
  </si>
  <si>
    <t>Ligne</t>
  </si>
  <si>
    <t>Courante</t>
  </si>
  <si>
    <t>d'oscillation</t>
  </si>
  <si>
    <t>Haut</t>
  </si>
  <si>
    <t>TRU médian</t>
  </si>
  <si>
    <t>Courbes de rendement au pair courante des obligations (annualisées)</t>
  </si>
  <si>
    <t>1 an (court)</t>
  </si>
  <si>
    <t>20 ans (long)</t>
  </si>
  <si>
    <t>note there are formulas in cells N56 to R57; they are just in white font</t>
  </si>
  <si>
    <t>Note: Il y a des formules dans les cellules N56 à R57 en police blanche</t>
  </si>
  <si>
    <t>Courbes de rendement au pair des obligations du gouvernement. (annualisé)</t>
  </si>
  <si>
    <t>Taux de rendement implicite pour 20 ans</t>
  </si>
  <si>
    <t>Limitation de responsabilité de l'ICA</t>
  </si>
  <si>
    <t>selon la relation historique entre ces taux à ces échéances</t>
  </si>
  <si>
    <t>et les taux de courtes et longues durées</t>
  </si>
  <si>
    <t>Français / French</t>
  </si>
  <si>
    <t>Transition uniforme</t>
  </si>
  <si>
    <t>Données pour calcul de courbe de taux au pair et à terme</t>
  </si>
  <si>
    <t>comme promulgué dans la section 3.2 du document #214046 de l'ICA (mai 2014)</t>
  </si>
  <si>
    <t>développé par l'actuaire selon les normes de pratique 2330.09.02</t>
  </si>
  <si>
    <t>Taux de réinvestissement sans risque ultime à d'autres durées pourraient être déterminés</t>
  </si>
  <si>
    <t>Étape 1 : Obtenir la courbe actuelle des rendements au pair auprès des sources pertinentes (p. ex. Bloomberg).</t>
  </si>
  <si>
    <t>Étape 2 : Interpoler la courbe des rendements au pair quand les taux ne sont pas directement disponibles.</t>
  </si>
  <si>
    <t>Exemple de scénario</t>
  </si>
  <si>
    <t>les taux TRU (60 ans) promulgués/développés</t>
  </si>
  <si>
    <t>Taux de rendement effectif d'obligation fédérale à échéance de : 1 an, 5 ans, 10 ans, 20 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</si>
</sst>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0.000%"/>
    <numFmt numFmtId="168" formatCode="0.000"/>
    <numFmt numFmtId="169" formatCode="0.00000000"/>
    <numFmt numFmtId="170" formatCode="#,##0.000"/>
    <numFmt numFmtId="171" formatCode="0.0000000000000000%"/>
    <numFmt numFmtId="172" formatCode="0.00000%"/>
    <numFmt numFmtId="173" formatCode="dd\ mmm\ yyyy"/>
    <numFmt numFmtId="174" formatCode="_(* #,##0.0000_);_(* \(#,##0.0000\);_(* &quot;-&quot;??_);_(@_)"/>
    <numFmt numFmtId="175" formatCode="_(* #,##0.000_);_(* \(#,##0.000\);_(* &quot;-&quot;??_);_(@_)"/>
  </numFmts>
  <fonts count="43">
    <font>
      <sz val="10"/>
      <name val="Arial MT"/>
    </font>
    <font>
      <sz val="10"/>
      <name val="Arial"/>
      <family val="2"/>
    </font>
    <font>
      <sz val="8"/>
      <name val="Arial MT"/>
    </font>
    <font>
      <b/>
      <sz val="10"/>
      <name val="Arial Narrow"/>
      <family val="2"/>
    </font>
    <font>
      <sz val="10"/>
      <name val="Arial Narrow"/>
      <family val="2"/>
    </font>
    <font>
      <i/>
      <sz val="8"/>
      <name val="Arial Narrow"/>
      <family val="2"/>
    </font>
    <font>
      <b/>
      <sz val="9"/>
      <name val="Arial Narrow"/>
      <family val="2"/>
    </font>
    <font>
      <b/>
      <u/>
      <sz val="12"/>
      <name val="Arial Narrow"/>
      <family val="2"/>
    </font>
    <font>
      <b/>
      <u/>
      <sz val="10"/>
      <name val="Arial Narrow"/>
      <family val="2"/>
    </font>
    <font>
      <b/>
      <sz val="12"/>
      <name val="Arial Narrow"/>
      <family val="2"/>
    </font>
    <font>
      <u/>
      <sz val="10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vertAlign val="superscript"/>
      <sz val="10"/>
      <name val="Arial Narrow"/>
      <family val="2"/>
    </font>
    <font>
      <i/>
      <sz val="9"/>
      <name val="Arial Narrow"/>
      <family val="2"/>
    </font>
    <font>
      <sz val="10"/>
      <color indexed="9"/>
      <name val="Arial Narrow"/>
      <family val="2"/>
    </font>
    <font>
      <sz val="10"/>
      <color indexed="10"/>
      <name val="Arial Narrow"/>
      <family val="2"/>
    </font>
    <font>
      <b/>
      <i/>
      <sz val="8"/>
      <name val="Arial Narrow"/>
      <family val="2"/>
    </font>
    <font>
      <sz val="10"/>
      <color indexed="12"/>
      <name val="Arial"/>
      <family val="2"/>
    </font>
    <font>
      <sz val="10"/>
      <name val="MS Sans Serif"/>
      <family val="2"/>
    </font>
    <font>
      <sz val="10"/>
      <color theme="0"/>
      <name val="Arial Narrow"/>
      <family val="2"/>
    </font>
    <font>
      <b/>
      <sz val="10"/>
      <color theme="3"/>
      <name val="Arial Narrow"/>
      <family val="2"/>
    </font>
    <font>
      <sz val="10"/>
      <color theme="1"/>
      <name val="Arial Narrow"/>
      <family val="2"/>
    </font>
    <font>
      <b/>
      <sz val="10"/>
      <name val="Arial"/>
      <family val="2"/>
    </font>
    <font>
      <b/>
      <sz val="10"/>
      <name val="Arial MT"/>
    </font>
    <font>
      <sz val="10"/>
      <color theme="3"/>
      <name val="Arial MT"/>
    </font>
    <font>
      <i/>
      <sz val="10"/>
      <name val="Arial MT"/>
    </font>
    <font>
      <sz val="10"/>
      <color theme="3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2"/>
      <name val="Arial MT"/>
    </font>
    <font>
      <i/>
      <sz val="9"/>
      <name val="Arial MT"/>
    </font>
    <font>
      <sz val="12"/>
      <name val="Calibri"/>
      <family val="2"/>
    </font>
    <font>
      <sz val="10"/>
      <color rgb="FF00000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9"/>
      <color rgb="FF000000"/>
      <name val="Arial Narrow"/>
      <family val="2"/>
    </font>
    <font>
      <sz val="9"/>
      <name val="Arial Narrow"/>
      <family val="2"/>
    </font>
    <font>
      <vertAlign val="subscript"/>
      <sz val="10"/>
      <name val="Arial MT"/>
    </font>
    <font>
      <u/>
      <vertAlign val="subscript"/>
      <sz val="10"/>
      <name val="Arial Narrow"/>
      <family val="2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9"/>
        <bgColor indexed="45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47"/>
        <bgColor indexed="9"/>
      </patternFill>
    </fill>
    <fill>
      <patternFill patternType="solid">
        <fgColor indexed="41"/>
        <bgColor indexed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9" fillId="0" borderId="0"/>
    <xf numFmtId="9" fontId="1" fillId="0" borderId="0" applyFont="0" applyFill="0" applyBorder="0" applyAlignment="0" applyProtection="0"/>
  </cellStyleXfs>
  <cellXfs count="252">
    <xf numFmtId="0" fontId="0" fillId="0" borderId="0" xfId="0"/>
    <xf numFmtId="167" fontId="4" fillId="2" borderId="0" xfId="3" applyNumberFormat="1" applyFont="1" applyFill="1" applyBorder="1" applyAlignment="1" applyProtection="1">
      <protection locked="0"/>
    </xf>
    <xf numFmtId="0" fontId="21" fillId="0" borderId="0" xfId="0" applyFont="1" applyProtection="1"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4" fillId="0" borderId="5" xfId="0" applyFont="1" applyFill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left" indent="1"/>
      <protection locked="0"/>
    </xf>
    <xf numFmtId="0" fontId="4" fillId="0" borderId="0" xfId="0" applyFont="1" applyFill="1" applyBorder="1" applyProtection="1">
      <protection locked="0"/>
    </xf>
    <xf numFmtId="0" fontId="4" fillId="0" borderId="10" xfId="0" applyFont="1" applyBorder="1" applyProtection="1">
      <protection locked="0"/>
    </xf>
    <xf numFmtId="0" fontId="6" fillId="0" borderId="7" xfId="0" applyFont="1" applyBorder="1" applyAlignment="1" applyProtection="1">
      <alignment horizontal="centerContinuous"/>
      <protection locked="0"/>
    </xf>
    <xf numFmtId="0" fontId="11" fillId="0" borderId="0" xfId="0" applyFont="1" applyBorder="1" applyAlignment="1" applyProtection="1">
      <alignment horizontal="centerContinuous"/>
      <protection locked="0"/>
    </xf>
    <xf numFmtId="0" fontId="14" fillId="0" borderId="0" xfId="0" applyFont="1" applyBorder="1" applyAlignment="1" applyProtection="1">
      <alignment horizontal="centerContinuous"/>
      <protection locked="0"/>
    </xf>
    <xf numFmtId="0" fontId="10" fillId="0" borderId="0" xfId="0" applyFont="1" applyBorder="1" applyAlignment="1" applyProtection="1">
      <alignment horizontal="centerContinuous"/>
      <protection locked="0"/>
    </xf>
    <xf numFmtId="0" fontId="4" fillId="0" borderId="0" xfId="0" applyFont="1" applyBorder="1" applyAlignment="1" applyProtection="1">
      <alignment horizontal="centerContinuous"/>
      <protection locked="0"/>
    </xf>
    <xf numFmtId="0" fontId="17" fillId="0" borderId="0" xfId="0" applyFont="1" applyBorder="1" applyAlignment="1" applyProtection="1">
      <alignment horizontal="right" vertical="top"/>
      <protection locked="0"/>
    </xf>
    <xf numFmtId="0" fontId="11" fillId="0" borderId="7" xfId="0" applyFont="1" applyBorder="1" applyAlignment="1" applyProtection="1">
      <alignment horizontal="centerContinuous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7" xfId="0" applyFont="1" applyBorder="1" applyProtection="1">
      <protection locked="0"/>
    </xf>
    <xf numFmtId="0" fontId="4" fillId="0" borderId="0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4" fillId="0" borderId="7" xfId="0" applyNumberFormat="1" applyFont="1" applyBorder="1" applyAlignment="1" applyProtection="1">
      <alignment horizontal="left" vertical="center" inden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0" fillId="0" borderId="7" xfId="0" applyFont="1" applyBorder="1" applyAlignment="1" applyProtection="1">
      <alignment horizontal="left" indent="1"/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3" fillId="0" borderId="0" xfId="0" applyNumberFormat="1" applyFont="1" applyBorder="1" applyAlignment="1" applyProtection="1">
      <alignment horizontal="left" vertical="center"/>
      <protection locked="0"/>
    </xf>
    <xf numFmtId="0" fontId="15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16" fillId="0" borderId="0" xfId="0" applyFont="1" applyBorder="1" applyAlignment="1" applyProtection="1">
      <alignment horizontal="left"/>
      <protection locked="0"/>
    </xf>
    <xf numFmtId="0" fontId="16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167" fontId="4" fillId="6" borderId="0" xfId="3" applyNumberFormat="1" applyFont="1" applyFill="1" applyBorder="1" applyAlignment="1" applyProtection="1"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170" fontId="4" fillId="4" borderId="0" xfId="3" applyNumberFormat="1" applyFont="1" applyFill="1" applyBorder="1" applyAlignment="1" applyProtection="1">
      <protection locked="0"/>
    </xf>
    <xf numFmtId="167" fontId="4" fillId="0" borderId="0" xfId="3" applyNumberFormat="1" applyFont="1" applyFill="1" applyBorder="1" applyAlignment="1" applyProtection="1">
      <protection locked="0"/>
    </xf>
    <xf numFmtId="167" fontId="4" fillId="7" borderId="0" xfId="3" applyNumberFormat="1" applyFont="1" applyFill="1" applyBorder="1" applyAlignment="1" applyProtection="1">
      <protection locked="0"/>
    </xf>
    <xf numFmtId="167" fontId="4" fillId="5" borderId="0" xfId="3" applyNumberFormat="1" applyFont="1" applyFill="1" applyBorder="1" applyAlignment="1" applyProtection="1">
      <protection locked="0"/>
    </xf>
    <xf numFmtId="169" fontId="4" fillId="0" borderId="0" xfId="0" applyNumberFormat="1" applyFont="1" applyProtection="1"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horizontal="left" indent="1"/>
      <protection locked="0"/>
    </xf>
    <xf numFmtId="167" fontId="4" fillId="3" borderId="0" xfId="3" applyNumberFormat="1" applyFont="1" applyFill="1" applyBorder="1" applyProtection="1">
      <protection locked="0"/>
    </xf>
    <xf numFmtId="170" fontId="4" fillId="4" borderId="0" xfId="3" applyNumberFormat="1" applyFont="1" applyFill="1" applyBorder="1" applyProtection="1">
      <protection locked="0"/>
    </xf>
    <xf numFmtId="167" fontId="4" fillId="6" borderId="0" xfId="3" applyNumberFormat="1" applyFont="1" applyFill="1" applyBorder="1" applyProtection="1">
      <protection locked="0"/>
    </xf>
    <xf numFmtId="167" fontId="4" fillId="7" borderId="0" xfId="3" applyNumberFormat="1" applyFont="1" applyFill="1" applyBorder="1" applyProtection="1">
      <protection locked="0"/>
    </xf>
    <xf numFmtId="167" fontId="4" fillId="5" borderId="0" xfId="3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 indent="1"/>
      <protection locked="0"/>
    </xf>
    <xf numFmtId="0" fontId="4" fillId="0" borderId="9" xfId="0" applyFont="1" applyBorder="1" applyAlignment="1" applyProtection="1">
      <alignment horizontal="left" indent="1"/>
      <protection locked="0"/>
    </xf>
    <xf numFmtId="0" fontId="4" fillId="0" borderId="6" xfId="0" applyFont="1" applyBorder="1" applyAlignment="1" applyProtection="1">
      <alignment horizontal="left" indent="1"/>
      <protection locked="0"/>
    </xf>
    <xf numFmtId="0" fontId="4" fillId="0" borderId="6" xfId="0" applyFont="1" applyBorder="1" applyProtection="1">
      <protection locked="0"/>
    </xf>
    <xf numFmtId="0" fontId="4" fillId="0" borderId="12" xfId="0" applyFont="1" applyBorder="1" applyProtection="1">
      <protection locked="0"/>
    </xf>
    <xf numFmtId="167" fontId="4" fillId="0" borderId="16" xfId="3" applyNumberFormat="1" applyFont="1" applyFill="1" applyBorder="1" applyAlignment="1" applyProtection="1">
      <protection locked="0"/>
    </xf>
    <xf numFmtId="0" fontId="4" fillId="0" borderId="8" xfId="0" applyFont="1" applyBorder="1" applyAlignment="1" applyProtection="1">
      <alignment horizontal="left" indent="1"/>
      <protection locked="0"/>
    </xf>
    <xf numFmtId="0" fontId="4" fillId="0" borderId="5" xfId="0" applyFont="1" applyBorder="1" applyAlignment="1" applyProtection="1">
      <alignment horizontal="left" indent="1"/>
      <protection locked="0"/>
    </xf>
    <xf numFmtId="167" fontId="4" fillId="0" borderId="17" xfId="3" applyNumberFormat="1" applyFont="1" applyFill="1" applyBorder="1" applyAlignment="1" applyProtection="1">
      <protection locked="0"/>
    </xf>
    <xf numFmtId="167" fontId="4" fillId="0" borderId="0" xfId="3" applyNumberFormat="1" applyFont="1" applyFill="1" applyBorder="1" applyProtection="1">
      <protection locked="0"/>
    </xf>
    <xf numFmtId="0" fontId="13" fillId="0" borderId="10" xfId="0" applyFont="1" applyBorder="1" applyAlignment="1" applyProtection="1">
      <alignment horizontal="left"/>
      <protection locked="0"/>
    </xf>
    <xf numFmtId="172" fontId="4" fillId="0" borderId="0" xfId="3" applyNumberFormat="1" applyFont="1" applyProtection="1">
      <protection locked="0"/>
    </xf>
    <xf numFmtId="0" fontId="4" fillId="0" borderId="0" xfId="0" applyFont="1" applyBorder="1" applyAlignment="1" applyProtection="1">
      <alignment horizontal="left" indent="1"/>
      <protection locked="0"/>
    </xf>
    <xf numFmtId="0" fontId="4" fillId="2" borderId="0" xfId="0" applyFont="1" applyFill="1" applyBorder="1" applyProtection="1">
      <protection locked="0"/>
    </xf>
    <xf numFmtId="0" fontId="5" fillId="0" borderId="0" xfId="0" applyFont="1" applyBorder="1" applyAlignment="1" applyProtection="1">
      <alignment horizontal="left" vertical="top" indent="1"/>
      <protection locked="0"/>
    </xf>
    <xf numFmtId="0" fontId="4" fillId="3" borderId="0" xfId="0" applyFont="1" applyFill="1" applyBorder="1" applyProtection="1">
      <protection locked="0"/>
    </xf>
    <xf numFmtId="170" fontId="4" fillId="6" borderId="0" xfId="3" applyNumberFormat="1" applyFont="1" applyFill="1" applyBorder="1" applyProtection="1">
      <protection locked="0"/>
    </xf>
    <xf numFmtId="0" fontId="4" fillId="0" borderId="8" xfId="0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4" fillId="0" borderId="10" xfId="0" applyFont="1" applyFill="1" applyBorder="1" applyProtection="1">
      <protection locked="0"/>
    </xf>
    <xf numFmtId="0" fontId="4" fillId="0" borderId="9" xfId="0" applyFont="1" applyFill="1" applyBorder="1" applyProtection="1">
      <protection locked="0"/>
    </xf>
    <xf numFmtId="0" fontId="4" fillId="0" borderId="22" xfId="0" applyFont="1" applyFill="1" applyBorder="1" applyProtection="1">
      <protection locked="0"/>
    </xf>
    <xf numFmtId="0" fontId="4" fillId="0" borderId="23" xfId="0" applyFont="1" applyFill="1" applyBorder="1" applyProtection="1">
      <protection locked="0"/>
    </xf>
    <xf numFmtId="0" fontId="4" fillId="5" borderId="0" xfId="0" applyFont="1" applyFill="1" applyBorder="1" applyProtection="1">
      <protection locked="0"/>
    </xf>
    <xf numFmtId="0" fontId="5" fillId="0" borderId="6" xfId="0" applyFont="1" applyBorder="1" applyAlignment="1" applyProtection="1">
      <alignment horizontal="left" vertical="top" indent="1"/>
      <protection locked="0"/>
    </xf>
    <xf numFmtId="0" fontId="4" fillId="0" borderId="6" xfId="0" applyFont="1" applyFill="1" applyBorder="1" applyProtection="1">
      <protection locked="0"/>
    </xf>
    <xf numFmtId="167" fontId="4" fillId="0" borderId="0" xfId="3" applyNumberFormat="1" applyFont="1" applyFill="1" applyBorder="1" applyAlignment="1" applyProtection="1">
      <alignment horizontal="center"/>
      <protection locked="0"/>
    </xf>
    <xf numFmtId="3" fontId="4" fillId="0" borderId="0" xfId="1" applyNumberFormat="1" applyFont="1" applyFill="1" applyBorder="1" applyAlignment="1" applyProtection="1">
      <alignment horizontal="center"/>
      <protection locked="0"/>
    </xf>
    <xf numFmtId="167" fontId="4" fillId="0" borderId="18" xfId="3" applyNumberFormat="1" applyFont="1" applyFill="1" applyBorder="1" applyAlignment="1" applyProtection="1">
      <protection locked="0"/>
    </xf>
    <xf numFmtId="0" fontId="4" fillId="0" borderId="9" xfId="0" applyFont="1" applyBorder="1" applyProtection="1">
      <protection locked="0"/>
    </xf>
    <xf numFmtId="0" fontId="4" fillId="0" borderId="22" xfId="0" applyFont="1" applyBorder="1" applyProtection="1">
      <protection locked="0"/>
    </xf>
    <xf numFmtId="0" fontId="4" fillId="0" borderId="23" xfId="0" applyFont="1" applyBorder="1" applyProtection="1">
      <protection locked="0"/>
    </xf>
    <xf numFmtId="0" fontId="20" fillId="0" borderId="9" xfId="0" applyFont="1" applyBorder="1" applyProtection="1">
      <protection locked="0"/>
    </xf>
    <xf numFmtId="0" fontId="20" fillId="0" borderId="22" xfId="0" applyFont="1" applyFill="1" applyBorder="1" applyAlignment="1" applyProtection="1">
      <alignment horizontal="center"/>
      <protection locked="0"/>
    </xf>
    <xf numFmtId="167" fontId="20" fillId="0" borderId="22" xfId="3" applyNumberFormat="1" applyFont="1" applyFill="1" applyBorder="1" applyProtection="1">
      <protection locked="0"/>
    </xf>
    <xf numFmtId="170" fontId="20" fillId="0" borderId="22" xfId="3" applyNumberFormat="1" applyFont="1" applyFill="1" applyBorder="1" applyProtection="1">
      <protection locked="0"/>
    </xf>
    <xf numFmtId="167" fontId="20" fillId="0" borderId="14" xfId="3" applyNumberFormat="1" applyFont="1" applyFill="1" applyBorder="1" applyAlignment="1" applyProtection="1">
      <protection locked="0"/>
    </xf>
    <xf numFmtId="0" fontId="20" fillId="0" borderId="22" xfId="0" applyFont="1" applyBorder="1" applyProtection="1">
      <protection locked="0"/>
    </xf>
    <xf numFmtId="0" fontId="20" fillId="0" borderId="23" xfId="0" applyFont="1" applyBorder="1" applyProtection="1">
      <protection locked="0"/>
    </xf>
    <xf numFmtId="0" fontId="0" fillId="0" borderId="0" xfId="0" applyProtection="1">
      <protection locked="0"/>
    </xf>
    <xf numFmtId="171" fontId="0" fillId="0" borderId="0" xfId="0" applyNumberFormat="1" applyProtection="1">
      <protection locked="0"/>
    </xf>
    <xf numFmtId="0" fontId="20" fillId="0" borderId="5" xfId="0" applyFont="1" applyBorder="1" applyProtection="1">
      <protection locked="0"/>
    </xf>
    <xf numFmtId="0" fontId="20" fillId="0" borderId="5" xfId="0" applyFont="1" applyFill="1" applyBorder="1" applyAlignment="1" applyProtection="1">
      <alignment horizontal="center"/>
      <protection locked="0"/>
    </xf>
    <xf numFmtId="167" fontId="20" fillId="0" borderId="5" xfId="3" applyNumberFormat="1" applyFont="1" applyFill="1" applyBorder="1" applyProtection="1">
      <protection locked="0"/>
    </xf>
    <xf numFmtId="170" fontId="20" fillId="0" borderId="5" xfId="3" applyNumberFormat="1" applyFont="1" applyFill="1" applyBorder="1" applyProtection="1">
      <protection locked="0"/>
    </xf>
    <xf numFmtId="167" fontId="20" fillId="0" borderId="5" xfId="3" applyNumberFormat="1" applyFont="1" applyFill="1" applyBorder="1" applyAlignment="1" applyProtection="1">
      <protection locked="0"/>
    </xf>
    <xf numFmtId="0" fontId="20" fillId="0" borderId="0" xfId="0" applyFont="1" applyBorder="1" applyProtection="1"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167" fontId="20" fillId="3" borderId="0" xfId="3" applyNumberFormat="1" applyFont="1" applyFill="1" applyBorder="1" applyProtection="1">
      <protection locked="0"/>
    </xf>
    <xf numFmtId="170" fontId="20" fillId="4" borderId="0" xfId="3" applyNumberFormat="1" applyFont="1" applyFill="1" applyBorder="1" applyProtection="1">
      <protection locked="0"/>
    </xf>
    <xf numFmtId="167" fontId="20" fillId="6" borderId="0" xfId="3" applyNumberFormat="1" applyFont="1" applyFill="1" applyBorder="1" applyProtection="1">
      <protection locked="0"/>
    </xf>
    <xf numFmtId="167" fontId="20" fillId="0" borderId="0" xfId="3" applyNumberFormat="1" applyFont="1" applyFill="1" applyBorder="1" applyAlignment="1" applyProtection="1">
      <protection locked="0"/>
    </xf>
    <xf numFmtId="167" fontId="20" fillId="0" borderId="0" xfId="3" applyNumberFormat="1" applyFont="1" applyFill="1" applyBorder="1" applyProtection="1">
      <protection locked="0"/>
    </xf>
    <xf numFmtId="170" fontId="20" fillId="0" borderId="0" xfId="3" applyNumberFormat="1" applyFont="1" applyFill="1" applyBorder="1" applyProtection="1">
      <protection locked="0"/>
    </xf>
    <xf numFmtId="0" fontId="20" fillId="0" borderId="0" xfId="0" applyFont="1" applyFill="1" applyProtection="1">
      <protection locked="0"/>
    </xf>
    <xf numFmtId="0" fontId="20" fillId="0" borderId="0" xfId="0" applyFont="1" applyFill="1" applyBorder="1" applyProtection="1"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2" borderId="0" xfId="0" applyFont="1" applyFill="1" applyProtection="1">
      <protection locked="0"/>
    </xf>
    <xf numFmtId="0" fontId="4" fillId="5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4" fillId="8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/>
      <protection locked="0"/>
    </xf>
    <xf numFmtId="10" fontId="18" fillId="0" borderId="20" xfId="0" applyNumberFormat="1" applyFont="1" applyFill="1" applyBorder="1" applyProtection="1">
      <protection locked="0"/>
    </xf>
    <xf numFmtId="10" fontId="18" fillId="0" borderId="0" xfId="3" applyNumberFormat="1" applyFont="1" applyFill="1" applyBorder="1" applyProtection="1">
      <protection locked="0"/>
    </xf>
    <xf numFmtId="10" fontId="18" fillId="0" borderId="0" xfId="3" applyNumberFormat="1" applyFont="1" applyBorder="1" applyProtection="1">
      <protection locked="0"/>
    </xf>
    <xf numFmtId="10" fontId="18" fillId="0" borderId="0" xfId="0" applyNumberFormat="1" applyFont="1" applyFill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2" fontId="1" fillId="0" borderId="0" xfId="1" quotePrefix="1" applyNumberFormat="1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0" xfId="2" quotePrefix="1" applyNumberFormat="1" applyFont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1" fillId="0" borderId="0" xfId="2" applyNumberFormat="1" applyFont="1" applyAlignment="1" applyProtection="1">
      <alignment horizontal="right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170" fontId="4" fillId="2" borderId="4" xfId="0" applyNumberFormat="1" applyFont="1" applyFill="1" applyBorder="1" applyProtection="1">
      <protection locked="0"/>
    </xf>
    <xf numFmtId="10" fontId="4" fillId="0" borderId="0" xfId="3" applyNumberFormat="1" applyFont="1" applyProtection="1">
      <protection locked="0"/>
    </xf>
    <xf numFmtId="0" fontId="22" fillId="0" borderId="0" xfId="0" applyFont="1" applyProtection="1">
      <protection locked="0"/>
    </xf>
    <xf numFmtId="1" fontId="1" fillId="0" borderId="0" xfId="2" quotePrefix="1" applyNumberFormat="1" applyFont="1" applyProtection="1">
      <protection locked="0"/>
    </xf>
    <xf numFmtId="0" fontId="1" fillId="0" borderId="0" xfId="2" quotePrefix="1" applyNumberFormat="1" applyFont="1" applyProtection="1">
      <protection locked="0"/>
    </xf>
    <xf numFmtId="4" fontId="22" fillId="0" borderId="0" xfId="0" applyNumberFormat="1" applyFont="1" applyProtection="1">
      <protection locked="0"/>
    </xf>
    <xf numFmtId="0" fontId="20" fillId="0" borderId="0" xfId="0" applyFont="1" applyProtection="1"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170" fontId="4" fillId="5" borderId="2" xfId="0" applyNumberFormat="1" applyFont="1" applyFill="1" applyBorder="1" applyProtection="1">
      <protection locked="0"/>
    </xf>
    <xf numFmtId="170" fontId="4" fillId="5" borderId="4" xfId="0" applyNumberFormat="1" applyFont="1" applyFill="1" applyBorder="1" applyProtection="1">
      <protection locked="0"/>
    </xf>
    <xf numFmtId="4" fontId="4" fillId="0" borderId="0" xfId="0" applyNumberFormat="1" applyFont="1" applyFill="1" applyBorder="1" applyProtection="1">
      <protection locked="0"/>
    </xf>
    <xf numFmtId="0" fontId="4" fillId="0" borderId="0" xfId="3" applyNumberFormat="1" applyFont="1" applyProtection="1">
      <protection locked="0"/>
    </xf>
    <xf numFmtId="0" fontId="4" fillId="0" borderId="0" xfId="0" applyNumberFormat="1" applyFont="1" applyProtection="1">
      <protection locked="0"/>
    </xf>
    <xf numFmtId="4" fontId="4" fillId="0" borderId="0" xfId="0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0" fontId="4" fillId="0" borderId="13" xfId="0" applyFont="1" applyFill="1" applyBorder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0" fillId="0" borderId="0" xfId="0" quotePrefix="1" applyProtection="1">
      <protection locked="0"/>
    </xf>
    <xf numFmtId="0" fontId="8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4" fillId="10" borderId="0" xfId="0" applyFont="1" applyFill="1" applyProtection="1">
      <protection locked="0"/>
    </xf>
    <xf numFmtId="2" fontId="1" fillId="0" borderId="0" xfId="1" applyNumberFormat="1" applyFont="1" applyFill="1" applyBorder="1" applyProtection="1">
      <protection locked="0"/>
    </xf>
    <xf numFmtId="2" fontId="1" fillId="0" borderId="0" xfId="1" quotePrefix="1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2" fontId="1" fillId="0" borderId="0" xfId="1" quotePrefix="1" applyNumberFormat="1" applyFont="1" applyFill="1" applyBorder="1" applyAlignment="1" applyProtection="1">
      <alignment horizontal="left"/>
      <protection locked="0"/>
    </xf>
    <xf numFmtId="9" fontId="18" fillId="0" borderId="0" xfId="3" applyNumberFormat="1" applyFont="1" applyFill="1" applyBorder="1" applyAlignment="1" applyProtection="1">
      <alignment horizontal="center"/>
      <protection locked="0"/>
    </xf>
    <xf numFmtId="10" fontId="18" fillId="0" borderId="19" xfId="3" applyNumberFormat="1" applyFont="1" applyFill="1" applyBorder="1" applyProtection="1">
      <protection locked="0"/>
    </xf>
    <xf numFmtId="9" fontId="1" fillId="0" borderId="0" xfId="3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15" fillId="0" borderId="0" xfId="0" applyFont="1" applyFill="1" applyBorder="1" applyProtection="1"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/>
      <protection locked="0"/>
    </xf>
    <xf numFmtId="167" fontId="3" fillId="2" borderId="0" xfId="3" applyNumberFormat="1" applyFont="1" applyFill="1" applyBorder="1" applyAlignment="1" applyProtection="1">
      <protection locked="0"/>
    </xf>
    <xf numFmtId="0" fontId="0" fillId="0" borderId="0" xfId="0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73" fontId="25" fillId="0" borderId="0" xfId="0" quotePrefix="1" applyNumberFormat="1" applyFont="1" applyAlignment="1">
      <alignment horizontal="center"/>
    </xf>
    <xf numFmtId="10" fontId="21" fillId="0" borderId="26" xfId="3" applyNumberFormat="1" applyFont="1" applyFill="1" applyBorder="1" applyAlignment="1" applyProtection="1">
      <alignment horizontal="center"/>
      <protection locked="0"/>
    </xf>
    <xf numFmtId="0" fontId="26" fillId="0" borderId="0" xfId="0" applyFont="1"/>
    <xf numFmtId="170" fontId="4" fillId="9" borderId="13" xfId="0" applyNumberFormat="1" applyFont="1" applyFill="1" applyBorder="1" applyProtection="1">
      <protection locked="0"/>
    </xf>
    <xf numFmtId="0" fontId="23" fillId="0" borderId="0" xfId="0" applyFont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174" fontId="1" fillId="0" borderId="0" xfId="1" applyNumberFormat="1" applyFont="1" applyAlignment="1">
      <alignment horizontal="right"/>
    </xf>
    <xf numFmtId="175" fontId="1" fillId="0" borderId="0" xfId="1" applyNumberFormat="1" applyFont="1"/>
    <xf numFmtId="175" fontId="27" fillId="0" borderId="0" xfId="1" applyNumberFormat="1" applyFont="1"/>
    <xf numFmtId="0" fontId="0" fillId="0" borderId="0" xfId="0" applyAlignment="1">
      <alignment horizontal="centerContinuous"/>
    </xf>
    <xf numFmtId="0" fontId="23" fillId="0" borderId="0" xfId="0" applyFont="1" applyAlignment="1">
      <alignment horizontal="centerContinuous"/>
    </xf>
    <xf numFmtId="0" fontId="23" fillId="0" borderId="0" xfId="0" applyFont="1" applyBorder="1" applyAlignment="1">
      <alignment horizontal="centerContinuous" wrapText="1"/>
    </xf>
    <xf numFmtId="0" fontId="23" fillId="0" borderId="0" xfId="0" applyFont="1" applyAlignment="1">
      <alignment horizontal="left"/>
    </xf>
    <xf numFmtId="10" fontId="3" fillId="0" borderId="15" xfId="3" applyNumberFormat="1" applyFont="1" applyFill="1" applyBorder="1" applyAlignment="1" applyProtection="1">
      <alignment horizontal="center"/>
      <protection locked="0"/>
    </xf>
    <xf numFmtId="167" fontId="21" fillId="0" borderId="29" xfId="3" applyNumberFormat="1" applyFont="1" applyFill="1" applyBorder="1" applyAlignment="1" applyProtection="1">
      <alignment horizontal="center"/>
      <protection locked="0"/>
    </xf>
    <xf numFmtId="167" fontId="21" fillId="0" borderId="28" xfId="3" applyNumberFormat="1" applyFont="1" applyFill="1" applyBorder="1" applyAlignment="1" applyProtection="1">
      <alignment horizontal="center"/>
      <protection locked="0"/>
    </xf>
    <xf numFmtId="167" fontId="21" fillId="0" borderId="27" xfId="3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vertical="top"/>
    </xf>
    <xf numFmtId="0" fontId="26" fillId="0" borderId="0" xfId="0" applyFont="1" applyAlignment="1">
      <alignment vertical="top"/>
    </xf>
    <xf numFmtId="0" fontId="28" fillId="0" borderId="0" xfId="0" applyFont="1" applyBorder="1" applyAlignment="1" applyProtection="1">
      <alignment horizontal="left"/>
      <protection locked="0"/>
    </xf>
    <xf numFmtId="0" fontId="29" fillId="0" borderId="0" xfId="0" applyFont="1" applyBorder="1" applyAlignment="1">
      <alignment horizontal="left" vertical="top"/>
    </xf>
    <xf numFmtId="0" fontId="30" fillId="0" borderId="0" xfId="0" applyFont="1" applyAlignment="1"/>
    <xf numFmtId="0" fontId="26" fillId="0" borderId="0" xfId="0" applyFont="1" applyAlignment="1">
      <alignment horizontal="left" vertical="top" indent="2"/>
    </xf>
    <xf numFmtId="0" fontId="26" fillId="0" borderId="0" xfId="0" applyFont="1" applyAlignment="1">
      <alignment horizontal="left" indent="2"/>
    </xf>
    <xf numFmtId="0" fontId="26" fillId="0" borderId="0" xfId="0" applyFont="1" applyAlignment="1">
      <alignment horizontal="left"/>
    </xf>
    <xf numFmtId="0" fontId="31" fillId="0" borderId="0" xfId="0" applyFont="1"/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3" fillId="0" borderId="30" xfId="0" applyFont="1" applyBorder="1" applyAlignment="1" applyProtection="1">
      <alignment horizontal="center"/>
      <protection locked="0"/>
    </xf>
    <xf numFmtId="0" fontId="3" fillId="0" borderId="30" xfId="0" applyFont="1" applyFill="1" applyBorder="1" applyAlignment="1" applyProtection="1">
      <alignment horizontal="center"/>
      <protection locked="0"/>
    </xf>
    <xf numFmtId="168" fontId="4" fillId="2" borderId="30" xfId="3" applyNumberFormat="1" applyFont="1" applyFill="1" applyBorder="1" applyAlignment="1" applyProtection="1">
      <alignment vertical="center"/>
      <protection locked="0"/>
    </xf>
    <xf numFmtId="170" fontId="4" fillId="9" borderId="30" xfId="0" applyNumberFormat="1" applyFont="1" applyFill="1" applyBorder="1" applyAlignment="1" applyProtection="1">
      <alignment vertical="center"/>
      <protection locked="0"/>
    </xf>
    <xf numFmtId="0" fontId="3" fillId="0" borderId="31" xfId="0" applyFont="1" applyBorder="1" applyAlignment="1" applyProtection="1">
      <alignment horizontal="centerContinuous"/>
      <protection locked="0"/>
    </xf>
    <xf numFmtId="0" fontId="3" fillId="0" borderId="32" xfId="0" applyFont="1" applyBorder="1" applyAlignment="1" applyProtection="1">
      <alignment horizontal="center"/>
      <protection locked="0"/>
    </xf>
    <xf numFmtId="0" fontId="3" fillId="0" borderId="32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left" indent="1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30" xfId="0" applyFont="1" applyFill="1" applyBorder="1" applyAlignment="1" applyProtection="1">
      <alignment horizontal="left" vertical="center"/>
      <protection locked="0"/>
    </xf>
    <xf numFmtId="170" fontId="4" fillId="8" borderId="2" xfId="0" applyNumberFormat="1" applyFont="1" applyFill="1" applyBorder="1" applyProtection="1">
      <protection locked="0"/>
    </xf>
    <xf numFmtId="170" fontId="4" fillId="8" borderId="4" xfId="0" applyNumberFormat="1" applyFont="1" applyFill="1" applyBorder="1" applyProtection="1">
      <protection locked="0"/>
    </xf>
    <xf numFmtId="170" fontId="4" fillId="10" borderId="2" xfId="0" applyNumberFormat="1" applyFont="1" applyFill="1" applyBorder="1" applyProtection="1">
      <protection locked="0"/>
    </xf>
    <xf numFmtId="0" fontId="32" fillId="0" borderId="0" xfId="0" applyFont="1"/>
    <xf numFmtId="14" fontId="0" fillId="0" borderId="0" xfId="0" applyNumberFormat="1"/>
    <xf numFmtId="16" fontId="0" fillId="0" borderId="0" xfId="0" applyNumberFormat="1"/>
    <xf numFmtId="0" fontId="38" fillId="0" borderId="0" xfId="0" applyFont="1" applyAlignment="1">
      <alignment horizontal="center" vertical="center" readingOrder="1"/>
    </xf>
    <xf numFmtId="0" fontId="0" fillId="0" borderId="0" xfId="0" applyAlignment="1" applyProtection="1">
      <alignment horizontal="centerContinuous"/>
      <protection locked="0"/>
    </xf>
    <xf numFmtId="0" fontId="36" fillId="0" borderId="0" xfId="0" applyFont="1" applyAlignment="1">
      <alignment horizontal="left" vertical="center" readingOrder="1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 wrapText="1"/>
      <protection locked="0"/>
    </xf>
    <xf numFmtId="0" fontId="37" fillId="0" borderId="0" xfId="0" applyFont="1" applyAlignment="1">
      <alignment horizontal="left" vertical="center" readingOrder="1"/>
    </xf>
    <xf numFmtId="0" fontId="24" fillId="0" borderId="0" xfId="0" applyFont="1" applyProtection="1">
      <protection locked="0"/>
    </xf>
    <xf numFmtId="0" fontId="24" fillId="0" borderId="0" xfId="0" applyFont="1" applyAlignment="1" applyProtection="1">
      <alignment horizontal="left"/>
      <protection locked="0"/>
    </xf>
    <xf numFmtId="0" fontId="39" fillId="0" borderId="0" xfId="0" applyNumberFormat="1" applyFont="1" applyBorder="1" applyAlignment="1" applyProtection="1">
      <alignment horizontal="left" vertical="center"/>
      <protection locked="0"/>
    </xf>
    <xf numFmtId="0" fontId="0" fillId="9" borderId="0" xfId="0" applyFill="1"/>
    <xf numFmtId="0" fontId="0" fillId="9" borderId="0" xfId="0" applyFill="1" applyAlignment="1">
      <alignment wrapText="1"/>
    </xf>
    <xf numFmtId="0" fontId="0" fillId="0" borderId="0" xfId="0" applyFill="1"/>
    <xf numFmtId="0" fontId="10" fillId="0" borderId="0" xfId="0" applyFont="1" applyBorder="1" applyAlignment="1">
      <alignment horizontal="center"/>
    </xf>
    <xf numFmtId="0" fontId="0" fillId="11" borderId="0" xfId="0" applyFill="1"/>
    <xf numFmtId="166" fontId="7" fillId="0" borderId="0" xfId="3" applyNumberFormat="1" applyFont="1" applyFill="1" applyBorder="1" applyAlignment="1" applyProtection="1">
      <alignment horizontal="left" vertical="center"/>
      <protection locked="0"/>
    </xf>
    <xf numFmtId="0" fontId="0" fillId="11" borderId="0" xfId="0" applyFill="1" applyAlignment="1">
      <alignment wrapText="1"/>
    </xf>
    <xf numFmtId="0" fontId="42" fillId="0" borderId="0" xfId="0" applyFont="1"/>
    <xf numFmtId="0" fontId="0" fillId="12" borderId="0" xfId="0" applyFill="1"/>
    <xf numFmtId="0" fontId="4" fillId="0" borderId="16" xfId="0" applyFont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 wrapText="1"/>
    </xf>
    <xf numFmtId="0" fontId="4" fillId="0" borderId="24" xfId="0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25" xfId="0" applyFont="1" applyBorder="1" applyAlignment="1" applyProtection="1">
      <alignment horizontal="center"/>
      <protection locked="0"/>
    </xf>
    <xf numFmtId="0" fontId="4" fillId="0" borderId="15" xfId="0" quotePrefix="1" applyFont="1" applyFill="1" applyBorder="1" applyAlignment="1" applyProtection="1">
      <alignment horizontal="left" vertical="center" wrapText="1" indent="1"/>
      <protection locked="0"/>
    </xf>
    <xf numFmtId="0" fontId="0" fillId="0" borderId="15" xfId="0" applyBorder="1" applyAlignment="1" applyProtection="1">
      <alignment horizontal="left" wrapText="1" inden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wrapText="1"/>
      <protection locked="0"/>
    </xf>
    <xf numFmtId="0" fontId="0" fillId="0" borderId="5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4" fillId="0" borderId="0" xfId="0" applyFont="1" applyAlignment="1" applyProtection="1">
      <alignment horizontal="left"/>
      <protection locked="0"/>
    </xf>
  </cellXfs>
  <cellStyles count="4">
    <cellStyle name="Comma" xfId="1" builtinId="3"/>
    <cellStyle name="Normal" xfId="0" builtinId="0"/>
    <cellStyle name="Normal_Exported Scenarios" xfId="2"/>
    <cellStyle name="Percent" xfId="3" builtinId="5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'Chart - Graphique'!$B$4</c:f>
          <c:strCache>
            <c:ptCount val="1"/>
            <c:pt idx="0">
              <c:v>Taux de rendement effectif d'obligation fédérale à échéance de : 1 an, 5 ans, 10 ans, 20 ans
Scénario de base et année de projection</c:v>
            </c:pt>
          </c:strCache>
        </c:strRef>
      </c:tx>
      <c:layout>
        <c:manualLayout>
          <c:xMode val="edge"/>
          <c:yMode val="edge"/>
          <c:x val="0.30555601602431282"/>
          <c:y val="1.09780439121756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030739206002958E-2"/>
          <c:y val="7.2521728197149013E-2"/>
          <c:w val="0.84578465796821745"/>
          <c:h val="0.87325434409924696"/>
        </c:manualLayout>
      </c:layout>
      <c:lineChart>
        <c:grouping val="standard"/>
        <c:varyColors val="0"/>
        <c:ser>
          <c:idx val="1"/>
          <c:order val="0"/>
          <c:tx>
            <c:strRef>
              <c:f>'Output - Résultats'!$C$16</c:f>
              <c:strCache>
                <c:ptCount val="1"/>
                <c:pt idx="0">
                  <c:v>1 an</c:v>
                </c:pt>
              </c:strCache>
            </c:strRef>
          </c:tx>
          <c:marker>
            <c:symbol val="none"/>
          </c:marker>
          <c:cat>
            <c:numRef>
              <c:f>'Output - Résultats'!$A$17:$A$77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'Output - Résultats'!$C$17:$C$77</c:f>
              <c:numCache>
                <c:formatCode>#,##0.000</c:formatCode>
                <c:ptCount val="61"/>
                <c:pt idx="0">
                  <c:v>1.0000000000000009</c:v>
                </c:pt>
                <c:pt idx="1">
                  <c:v>1.0000000000000009</c:v>
                </c:pt>
                <c:pt idx="2">
                  <c:v>1.3036202767562528</c:v>
                </c:pt>
                <c:pt idx="3">
                  <c:v>1.5081994761798887</c:v>
                </c:pt>
                <c:pt idx="4">
                  <c:v>1.7152009173398708</c:v>
                </c:pt>
                <c:pt idx="5">
                  <c:v>1.9251191488547186</c:v>
                </c:pt>
                <c:pt idx="6">
                  <c:v>2.1384872421008594</c:v>
                </c:pt>
                <c:pt idx="7">
                  <c:v>2.3558851533972862</c:v>
                </c:pt>
                <c:pt idx="8">
                  <c:v>2.5779494399155887</c:v>
                </c:pt>
                <c:pt idx="9">
                  <c:v>2.8053846837175875</c:v>
                </c:pt>
                <c:pt idx="10">
                  <c:v>2.4160456410928384</c:v>
                </c:pt>
                <c:pt idx="11">
                  <c:v>2.5316417094921411</c:v>
                </c:pt>
                <c:pt idx="12">
                  <c:v>2.6497031916242735</c:v>
                </c:pt>
                <c:pt idx="13">
                  <c:v>2.7704735200270423</c:v>
                </c:pt>
                <c:pt idx="14">
                  <c:v>2.8942198273211863</c:v>
                </c:pt>
                <c:pt idx="15">
                  <c:v>3.021236321539055</c:v>
                </c:pt>
                <c:pt idx="16">
                  <c:v>3.1518482162143924</c:v>
                </c:pt>
                <c:pt idx="17">
                  <c:v>3.2864163277350098</c:v>
                </c:pt>
                <c:pt idx="18">
                  <c:v>3.4253424789471949</c:v>
                </c:pt>
                <c:pt idx="19">
                  <c:v>3.5690758818323709</c:v>
                </c:pt>
                <c:pt idx="20">
                  <c:v>3.4194690752409551</c:v>
                </c:pt>
                <c:pt idx="21">
                  <c:v>3.4397876576075213</c:v>
                </c:pt>
                <c:pt idx="22">
                  <c:v>3.4601062399740883</c:v>
                </c:pt>
                <c:pt idx="23">
                  <c:v>3.4804248223406544</c:v>
                </c:pt>
                <c:pt idx="24">
                  <c:v>3.5007434047072215</c:v>
                </c:pt>
                <c:pt idx="25">
                  <c:v>3.521061987073788</c:v>
                </c:pt>
                <c:pt idx="26">
                  <c:v>3.5413805694403551</c:v>
                </c:pt>
                <c:pt idx="27">
                  <c:v>3.5616991518069212</c:v>
                </c:pt>
                <c:pt idx="28">
                  <c:v>3.5820177341734878</c:v>
                </c:pt>
                <c:pt idx="29">
                  <c:v>3.6023363165400539</c:v>
                </c:pt>
                <c:pt idx="30">
                  <c:v>3.6226548989066201</c:v>
                </c:pt>
                <c:pt idx="31">
                  <c:v>3.6429734812731871</c:v>
                </c:pt>
                <c:pt idx="32">
                  <c:v>3.6632920636397541</c:v>
                </c:pt>
                <c:pt idx="33">
                  <c:v>3.6836106460063207</c:v>
                </c:pt>
                <c:pt idx="34">
                  <c:v>3.7039292283728869</c:v>
                </c:pt>
                <c:pt idx="35">
                  <c:v>3.7242478107394534</c:v>
                </c:pt>
                <c:pt idx="36">
                  <c:v>3.7445663931060205</c:v>
                </c:pt>
                <c:pt idx="37">
                  <c:v>3.7648849754725866</c:v>
                </c:pt>
                <c:pt idx="38">
                  <c:v>3.7852035578391527</c:v>
                </c:pt>
                <c:pt idx="39">
                  <c:v>3.8055221402057198</c:v>
                </c:pt>
                <c:pt idx="40">
                  <c:v>3.8258407225722864</c:v>
                </c:pt>
                <c:pt idx="41">
                  <c:v>3.8345486864436724</c:v>
                </c:pt>
                <c:pt idx="42">
                  <c:v>3.8432566503150576</c:v>
                </c:pt>
                <c:pt idx="43">
                  <c:v>3.8519646141864436</c:v>
                </c:pt>
                <c:pt idx="44">
                  <c:v>3.8606725780578288</c:v>
                </c:pt>
                <c:pt idx="45">
                  <c:v>3.8693805419292149</c:v>
                </c:pt>
                <c:pt idx="46">
                  <c:v>3.8780885058006005</c:v>
                </c:pt>
                <c:pt idx="47">
                  <c:v>3.8867964696719866</c:v>
                </c:pt>
                <c:pt idx="48">
                  <c:v>3.8955044335433717</c:v>
                </c:pt>
                <c:pt idx="49">
                  <c:v>3.9042123974147573</c:v>
                </c:pt>
                <c:pt idx="50">
                  <c:v>3.912920361286143</c:v>
                </c:pt>
                <c:pt idx="51">
                  <c:v>3.921628325157529</c:v>
                </c:pt>
                <c:pt idx="52">
                  <c:v>3.9303362890289142</c:v>
                </c:pt>
                <c:pt idx="53">
                  <c:v>3.9390442529003002</c:v>
                </c:pt>
                <c:pt idx="54">
                  <c:v>3.9477522167716854</c:v>
                </c:pt>
                <c:pt idx="55">
                  <c:v>3.9564601806430715</c:v>
                </c:pt>
                <c:pt idx="56">
                  <c:v>3.9651681445144575</c:v>
                </c:pt>
                <c:pt idx="57">
                  <c:v>3.9738761083858427</c:v>
                </c:pt>
                <c:pt idx="58">
                  <c:v>3.9825840722572288</c:v>
                </c:pt>
                <c:pt idx="59">
                  <c:v>3.9912920361286139</c:v>
                </c:pt>
                <c:pt idx="60">
                  <c:v>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'Output - Résultats'!$G$16</c:f>
              <c:strCache>
                <c:ptCount val="1"/>
                <c:pt idx="0">
                  <c:v>5 ans</c:v>
                </c:pt>
              </c:strCache>
            </c:strRef>
          </c:tx>
          <c:marker>
            <c:symbol val="none"/>
          </c:marker>
          <c:cat>
            <c:numRef>
              <c:f>'Output - Résultats'!$A$17:$A$77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'Output - Résultats'!$G$17:$G$77</c:f>
              <c:numCache>
                <c:formatCode>#,##0.000</c:formatCode>
                <c:ptCount val="61"/>
                <c:pt idx="0">
                  <c:v>1.2999999999999905</c:v>
                </c:pt>
                <c:pt idx="1">
                  <c:v>1.4832359606393886</c:v>
                </c:pt>
                <c:pt idx="2">
                  <c:v>1.7106017212794236</c:v>
                </c:pt>
                <c:pt idx="3">
                  <c:v>1.9200599516360977</c:v>
                </c:pt>
                <c:pt idx="4">
                  <c:v>2.1329500143534657</c:v>
                </c:pt>
                <c:pt idx="5">
                  <c:v>2.3498488069860861</c:v>
                </c:pt>
                <c:pt idx="6">
                  <c:v>2.453556291734373</c:v>
                </c:pt>
                <c:pt idx="7">
                  <c:v>2.5362583542545947</c:v>
                </c:pt>
                <c:pt idx="8">
                  <c:v>2.5967475943127005</c:v>
                </c:pt>
                <c:pt idx="9">
                  <c:v>2.6337605037644871</c:v>
                </c:pt>
                <c:pt idx="10">
                  <c:v>2.6460288120804969</c:v>
                </c:pt>
                <c:pt idx="11">
                  <c:v>2.7666237484445579</c:v>
                </c:pt>
                <c:pt idx="12">
                  <c:v>2.8901846675356802</c:v>
                </c:pt>
                <c:pt idx="13">
                  <c:v>3.017004610666151</c:v>
                </c:pt>
                <c:pt idx="14">
                  <c:v>3.1474074613533314</c:v>
                </c:pt>
                <c:pt idx="15">
                  <c:v>3.2817525139204058</c:v>
                </c:pt>
                <c:pt idx="16">
                  <c:v>3.3648531404566735</c:v>
                </c:pt>
                <c:pt idx="17">
                  <c:v>3.4402217501484063</c:v>
                </c:pt>
                <c:pt idx="18">
                  <c:v>3.5066199909702402</c:v>
                </c:pt>
                <c:pt idx="19">
                  <c:v>3.5626710263685273</c:v>
                </c:pt>
                <c:pt idx="20">
                  <c:v>3.6068565734967084</c:v>
                </c:pt>
                <c:pt idx="21">
                  <c:v>3.648616593424324</c:v>
                </c:pt>
                <c:pt idx="22">
                  <c:v>3.6903766133519382</c:v>
                </c:pt>
                <c:pt idx="23">
                  <c:v>3.7321366332795542</c:v>
                </c:pt>
                <c:pt idx="24">
                  <c:v>3.7738966532071694</c:v>
                </c:pt>
                <c:pt idx="25">
                  <c:v>3.8156566731347845</c:v>
                </c:pt>
                <c:pt idx="26">
                  <c:v>3.8574166930624001</c:v>
                </c:pt>
                <c:pt idx="27">
                  <c:v>3.8991767129900148</c:v>
                </c:pt>
                <c:pt idx="28">
                  <c:v>3.9409367329176304</c:v>
                </c:pt>
                <c:pt idx="29">
                  <c:v>3.9826967528452455</c:v>
                </c:pt>
                <c:pt idx="30">
                  <c:v>4.0244567727728606</c:v>
                </c:pt>
                <c:pt idx="31">
                  <c:v>4.0662167927004758</c:v>
                </c:pt>
                <c:pt idx="32">
                  <c:v>4.1079768126280909</c:v>
                </c:pt>
                <c:pt idx="33">
                  <c:v>4.149736832555706</c:v>
                </c:pt>
                <c:pt idx="34">
                  <c:v>4.1914968524833212</c:v>
                </c:pt>
                <c:pt idx="35">
                  <c:v>4.2332568724109363</c:v>
                </c:pt>
                <c:pt idx="36">
                  <c:v>4.2750168923385514</c:v>
                </c:pt>
                <c:pt idx="37">
                  <c:v>4.3167769122661674</c:v>
                </c:pt>
                <c:pt idx="38">
                  <c:v>4.3585369321937826</c:v>
                </c:pt>
                <c:pt idx="39">
                  <c:v>4.4002969521213977</c:v>
                </c:pt>
                <c:pt idx="40">
                  <c:v>4.4420569720490128</c:v>
                </c:pt>
                <c:pt idx="41">
                  <c:v>4.4599541234465621</c:v>
                </c:pt>
                <c:pt idx="42">
                  <c:v>4.4778512748441113</c:v>
                </c:pt>
                <c:pt idx="43">
                  <c:v>4.4957484262416614</c:v>
                </c:pt>
                <c:pt idx="44">
                  <c:v>4.5136455776392106</c:v>
                </c:pt>
                <c:pt idx="45">
                  <c:v>4.5315427290367598</c:v>
                </c:pt>
                <c:pt idx="46">
                  <c:v>4.549439880434309</c:v>
                </c:pt>
                <c:pt idx="47">
                  <c:v>4.5673370318318591</c:v>
                </c:pt>
                <c:pt idx="48">
                  <c:v>4.5852341832294075</c:v>
                </c:pt>
                <c:pt idx="49">
                  <c:v>4.6031313346269567</c:v>
                </c:pt>
                <c:pt idx="50">
                  <c:v>4.6210284860245068</c:v>
                </c:pt>
                <c:pt idx="51">
                  <c:v>4.638925637422056</c:v>
                </c:pt>
                <c:pt idx="52">
                  <c:v>4.6568227888196052</c:v>
                </c:pt>
                <c:pt idx="53">
                  <c:v>4.6747199402171544</c:v>
                </c:pt>
                <c:pt idx="54">
                  <c:v>4.6926170916147045</c:v>
                </c:pt>
                <c:pt idx="55">
                  <c:v>4.7105142430122537</c:v>
                </c:pt>
                <c:pt idx="56">
                  <c:v>4.7284113944098021</c:v>
                </c:pt>
                <c:pt idx="57">
                  <c:v>4.7463085458073513</c:v>
                </c:pt>
                <c:pt idx="58">
                  <c:v>4.7642056972049005</c:v>
                </c:pt>
                <c:pt idx="59">
                  <c:v>4.7821028486024506</c:v>
                </c:pt>
                <c:pt idx="60">
                  <c:v>4.8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'Output - Résultats'!$L$16</c:f>
              <c:strCache>
                <c:ptCount val="1"/>
                <c:pt idx="0">
                  <c:v>10 ans</c:v>
                </c:pt>
              </c:strCache>
            </c:strRef>
          </c:tx>
          <c:marker>
            <c:symbol val="none"/>
          </c:marker>
          <c:cat>
            <c:numRef>
              <c:f>'Output - Résultats'!$A$17:$A$77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'Output - Résultats'!$L$17:$L$77</c:f>
              <c:numCache>
                <c:formatCode>#,##0.000</c:formatCode>
                <c:ptCount val="61"/>
                <c:pt idx="0">
                  <c:v>1.8000000000000034</c:v>
                </c:pt>
                <c:pt idx="1">
                  <c:v>1.9430571623304207</c:v>
                </c:pt>
                <c:pt idx="2">
                  <c:v>2.1002048923845962</c:v>
                </c:pt>
                <c:pt idx="3">
                  <c:v>2.2382532893335072</c:v>
                </c:pt>
                <c:pt idx="4">
                  <c:v>2.3678318955149456</c:v>
                </c:pt>
                <c:pt idx="5">
                  <c:v>2.4885451507234873</c:v>
                </c:pt>
                <c:pt idx="6">
                  <c:v>2.5999229466069189</c:v>
                </c:pt>
                <c:pt idx="7">
                  <c:v>2.7014239517929095</c:v>
                </c:pt>
                <c:pt idx="8">
                  <c:v>2.7924399993659539</c:v>
                </c:pt>
                <c:pt idx="9">
                  <c:v>2.87230195618563</c:v>
                </c:pt>
                <c:pt idx="10">
                  <c:v>2.9402875183206914</c:v>
                </c:pt>
                <c:pt idx="11">
                  <c:v>3.0426642779223507</c:v>
                </c:pt>
                <c:pt idx="12">
                  <c:v>3.1432592229058218</c:v>
                </c:pt>
                <c:pt idx="13">
                  <c:v>3.2417022937320223</c:v>
                </c:pt>
                <c:pt idx="14">
                  <c:v>3.337568861988442</c:v>
                </c:pt>
                <c:pt idx="15">
                  <c:v>3.4303736333630437</c:v>
                </c:pt>
                <c:pt idx="16">
                  <c:v>3.5195641622490128</c:v>
                </c:pt>
                <c:pt idx="17">
                  <c:v>3.6045140716704767</c:v>
                </c:pt>
                <c:pt idx="18">
                  <c:v>3.6845161238192916</c:v>
                </c:pt>
                <c:pt idx="19">
                  <c:v>3.758775353094518</c:v>
                </c:pt>
                <c:pt idx="20">
                  <c:v>3.8264025575866709</c:v>
                </c:pt>
                <c:pt idx="21">
                  <c:v>3.8709784680711374</c:v>
                </c:pt>
                <c:pt idx="22">
                  <c:v>3.9155543785556035</c:v>
                </c:pt>
                <c:pt idx="23">
                  <c:v>3.9601302890400705</c:v>
                </c:pt>
                <c:pt idx="24">
                  <c:v>4.004706199524537</c:v>
                </c:pt>
                <c:pt idx="25">
                  <c:v>4.0492821100090035</c:v>
                </c:pt>
                <c:pt idx="26">
                  <c:v>4.0938580204934691</c:v>
                </c:pt>
                <c:pt idx="27">
                  <c:v>4.1384339309779365</c:v>
                </c:pt>
                <c:pt idx="28">
                  <c:v>4.1830098414624022</c:v>
                </c:pt>
                <c:pt idx="29">
                  <c:v>4.2275857519468687</c:v>
                </c:pt>
                <c:pt idx="30">
                  <c:v>4.2721616624313352</c:v>
                </c:pt>
                <c:pt idx="31">
                  <c:v>4.3167375729158026</c:v>
                </c:pt>
                <c:pt idx="32">
                  <c:v>4.3613134834002683</c:v>
                </c:pt>
                <c:pt idx="33">
                  <c:v>4.4058893938847348</c:v>
                </c:pt>
                <c:pt idx="34">
                  <c:v>4.4504653043692013</c:v>
                </c:pt>
                <c:pt idx="35">
                  <c:v>4.4950412148536687</c:v>
                </c:pt>
                <c:pt idx="36">
                  <c:v>4.5396171253381343</c:v>
                </c:pt>
                <c:pt idx="37">
                  <c:v>4.5841930358226008</c:v>
                </c:pt>
                <c:pt idx="38">
                  <c:v>4.6287689463070674</c:v>
                </c:pt>
                <c:pt idx="39">
                  <c:v>4.6733448567915339</c:v>
                </c:pt>
                <c:pt idx="40">
                  <c:v>4.7179207672760004</c:v>
                </c:pt>
                <c:pt idx="41">
                  <c:v>4.7370247289121998</c:v>
                </c:pt>
                <c:pt idx="42">
                  <c:v>4.7561286905484002</c:v>
                </c:pt>
                <c:pt idx="43">
                  <c:v>4.7752326521846005</c:v>
                </c:pt>
                <c:pt idx="44">
                  <c:v>4.7943366138208008</c:v>
                </c:pt>
                <c:pt idx="45">
                  <c:v>4.8134405754570002</c:v>
                </c:pt>
                <c:pt idx="46">
                  <c:v>4.8325445370932005</c:v>
                </c:pt>
                <c:pt idx="47">
                  <c:v>4.8516484987294</c:v>
                </c:pt>
                <c:pt idx="48">
                  <c:v>4.8707524603655994</c:v>
                </c:pt>
                <c:pt idx="49">
                  <c:v>4.8898564220018006</c:v>
                </c:pt>
                <c:pt idx="50">
                  <c:v>4.908960383638</c:v>
                </c:pt>
                <c:pt idx="51">
                  <c:v>4.9280643452741995</c:v>
                </c:pt>
                <c:pt idx="52">
                  <c:v>4.9471683069104007</c:v>
                </c:pt>
                <c:pt idx="53">
                  <c:v>4.9662722685466001</c:v>
                </c:pt>
                <c:pt idx="54">
                  <c:v>4.9853762301827995</c:v>
                </c:pt>
                <c:pt idx="55">
                  <c:v>5.0044801918190007</c:v>
                </c:pt>
                <c:pt idx="56">
                  <c:v>5.0235841534551993</c:v>
                </c:pt>
                <c:pt idx="57">
                  <c:v>5.0426881150913996</c:v>
                </c:pt>
                <c:pt idx="58">
                  <c:v>5.0617920767275999</c:v>
                </c:pt>
                <c:pt idx="59">
                  <c:v>5.0808960383637993</c:v>
                </c:pt>
                <c:pt idx="60">
                  <c:v>5.0999999999999996</c:v>
                </c:pt>
              </c:numCache>
            </c:numRef>
          </c:val>
          <c:smooth val="0"/>
        </c:ser>
        <c:ser>
          <c:idx val="11"/>
          <c:order val="3"/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'Output - Résultats'!$A$17:$A$66</c:f>
              <c:numCache>
                <c:formatCode>General</c:formatCode>
                <c:ptCount val="5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</c:numCache>
            </c:numRef>
          </c:cat>
          <c:val>
            <c:numRef>
              <c:f>'Output - Résultats'!$AE$17:$AE$66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'Output - Résultats'!$V$16</c:f>
              <c:strCache>
                <c:ptCount val="1"/>
                <c:pt idx="0">
                  <c:v>20 ans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'Output - Résultats'!$A$17:$A$77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'Output - Résultats'!$V$17:$V$77</c:f>
              <c:numCache>
                <c:formatCode>#,##0.000</c:formatCode>
                <c:ptCount val="61"/>
                <c:pt idx="0">
                  <c:v>2.2999999999999932</c:v>
                </c:pt>
                <c:pt idx="1">
                  <c:v>2.4223166185196154</c:v>
                </c:pt>
                <c:pt idx="2">
                  <c:v>2.5522109519223282</c:v>
                </c:pt>
                <c:pt idx="3">
                  <c:v>2.6706914014748269</c:v>
                </c:pt>
                <c:pt idx="4">
                  <c:v>2.783501027124784</c:v>
                </c:pt>
                <c:pt idx="5">
                  <c:v>2.8901429461784041</c:v>
                </c:pt>
                <c:pt idx="6">
                  <c:v>2.9900542321086307</c:v>
                </c:pt>
                <c:pt idx="7">
                  <c:v>3.0826039867540502</c:v>
                </c:pt>
                <c:pt idx="8">
                  <c:v>3.167092171835082</c:v>
                </c:pt>
                <c:pt idx="9">
                  <c:v>3.2427495438475855</c:v>
                </c:pt>
                <c:pt idx="10">
                  <c:v>3.3087391006713487</c:v>
                </c:pt>
                <c:pt idx="11">
                  <c:v>3.406860609688267</c:v>
                </c:pt>
                <c:pt idx="12">
                  <c:v>3.5039801706436684</c:v>
                </c:pt>
                <c:pt idx="13">
                  <c:v>3.5998635785775766</c:v>
                </c:pt>
                <c:pt idx="14">
                  <c:v>3.6942406239120449</c:v>
                </c:pt>
                <c:pt idx="15">
                  <c:v>3.78680068586928</c:v>
                </c:pt>
                <c:pt idx="16">
                  <c:v>3.8771879082035179</c:v>
                </c:pt>
                <c:pt idx="17">
                  <c:v>3.9649959630567224</c:v>
                </c:pt>
                <c:pt idx="18">
                  <c:v>4.049762427545998</c:v>
                </c:pt>
                <c:pt idx="19">
                  <c:v>4.1309628235566578</c:v>
                </c:pt>
                <c:pt idx="20">
                  <c:v>4.208004405899417</c:v>
                </c:pt>
                <c:pt idx="21">
                  <c:v>4.2462242516929374</c:v>
                </c:pt>
                <c:pt idx="22">
                  <c:v>4.2844440974864577</c:v>
                </c:pt>
                <c:pt idx="23">
                  <c:v>4.322663943279978</c:v>
                </c:pt>
                <c:pt idx="24">
                  <c:v>4.3608837890734993</c:v>
                </c:pt>
                <c:pt idx="25">
                  <c:v>4.3991036348670196</c:v>
                </c:pt>
                <c:pt idx="26">
                  <c:v>4.4373234806605399</c:v>
                </c:pt>
                <c:pt idx="27">
                  <c:v>4.4755433264540603</c:v>
                </c:pt>
                <c:pt idx="28">
                  <c:v>4.5137631722475806</c:v>
                </c:pt>
                <c:pt idx="29">
                  <c:v>4.5519830180411009</c:v>
                </c:pt>
                <c:pt idx="30">
                  <c:v>4.5902028638346213</c:v>
                </c:pt>
                <c:pt idx="31">
                  <c:v>4.6284227096281416</c:v>
                </c:pt>
                <c:pt idx="32">
                  <c:v>4.666642555421662</c:v>
                </c:pt>
                <c:pt idx="33">
                  <c:v>4.7048624012151823</c:v>
                </c:pt>
                <c:pt idx="34">
                  <c:v>4.7430822470087026</c:v>
                </c:pt>
                <c:pt idx="35">
                  <c:v>4.781302092802223</c:v>
                </c:pt>
                <c:pt idx="36">
                  <c:v>4.8195219385957433</c:v>
                </c:pt>
                <c:pt idx="37">
                  <c:v>4.8577417843892636</c:v>
                </c:pt>
                <c:pt idx="38">
                  <c:v>4.895961630182784</c:v>
                </c:pt>
                <c:pt idx="39">
                  <c:v>4.9341814759763043</c:v>
                </c:pt>
                <c:pt idx="40">
                  <c:v>4.9724013217698246</c:v>
                </c:pt>
                <c:pt idx="41">
                  <c:v>4.9887812556813333</c:v>
                </c:pt>
                <c:pt idx="42">
                  <c:v>5.0051611895928421</c:v>
                </c:pt>
                <c:pt idx="43">
                  <c:v>5.0215411235043508</c:v>
                </c:pt>
                <c:pt idx="44">
                  <c:v>5.0379210574158595</c:v>
                </c:pt>
                <c:pt idx="45">
                  <c:v>5.0543009913273682</c:v>
                </c:pt>
                <c:pt idx="46">
                  <c:v>5.0706809252388769</c:v>
                </c:pt>
                <c:pt idx="47">
                  <c:v>5.0870608591503865</c:v>
                </c:pt>
                <c:pt idx="48">
                  <c:v>5.1034407930618944</c:v>
                </c:pt>
                <c:pt idx="49">
                  <c:v>5.1198207269734031</c:v>
                </c:pt>
                <c:pt idx="50">
                  <c:v>5.1362006608849118</c:v>
                </c:pt>
                <c:pt idx="51">
                  <c:v>5.1525805947964205</c:v>
                </c:pt>
                <c:pt idx="52">
                  <c:v>5.1689605287079292</c:v>
                </c:pt>
                <c:pt idx="53">
                  <c:v>5.1853404626194379</c:v>
                </c:pt>
                <c:pt idx="54">
                  <c:v>5.2017203965309475</c:v>
                </c:pt>
                <c:pt idx="55">
                  <c:v>5.2181003304424562</c:v>
                </c:pt>
                <c:pt idx="56">
                  <c:v>5.234480264353965</c:v>
                </c:pt>
                <c:pt idx="57">
                  <c:v>5.2508601982654728</c:v>
                </c:pt>
                <c:pt idx="58">
                  <c:v>5.2672401321769815</c:v>
                </c:pt>
                <c:pt idx="59">
                  <c:v>5.2836200660884911</c:v>
                </c:pt>
                <c:pt idx="60">
                  <c:v>5.3</c:v>
                </c:pt>
              </c:numCache>
            </c:numRef>
          </c:val>
          <c:smooth val="0"/>
        </c:ser>
        <c:ser>
          <c:idx val="12"/>
          <c:order val="5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'Output - Résultats'!$A$17:$A$77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'Output - Résultats'!$AI$18:$AI$77</c:f>
              <c:numCache>
                <c:formatCode>#,##0.00</c:formatCode>
                <c:ptCount val="60"/>
                <c:pt idx="0">
                  <c:v>10.4</c:v>
                </c:pt>
                <c:pt idx="1">
                  <c:v>10.4</c:v>
                </c:pt>
                <c:pt idx="2">
                  <c:v>10.4</c:v>
                </c:pt>
                <c:pt idx="3">
                  <c:v>10.4</c:v>
                </c:pt>
                <c:pt idx="4">
                  <c:v>10.4</c:v>
                </c:pt>
                <c:pt idx="5">
                  <c:v>10.4</c:v>
                </c:pt>
                <c:pt idx="6">
                  <c:v>10.4</c:v>
                </c:pt>
                <c:pt idx="7">
                  <c:v>10.4</c:v>
                </c:pt>
                <c:pt idx="8">
                  <c:v>10.4</c:v>
                </c:pt>
                <c:pt idx="9">
                  <c:v>10.4</c:v>
                </c:pt>
                <c:pt idx="10">
                  <c:v>10.4</c:v>
                </c:pt>
                <c:pt idx="11">
                  <c:v>10.4</c:v>
                </c:pt>
                <c:pt idx="12">
                  <c:v>10.4</c:v>
                </c:pt>
                <c:pt idx="13">
                  <c:v>10.4</c:v>
                </c:pt>
                <c:pt idx="14">
                  <c:v>10.4</c:v>
                </c:pt>
                <c:pt idx="15">
                  <c:v>10.4</c:v>
                </c:pt>
                <c:pt idx="16">
                  <c:v>10.4</c:v>
                </c:pt>
                <c:pt idx="17">
                  <c:v>10.4</c:v>
                </c:pt>
                <c:pt idx="18">
                  <c:v>10.4</c:v>
                </c:pt>
                <c:pt idx="19">
                  <c:v>10.4</c:v>
                </c:pt>
                <c:pt idx="20">
                  <c:v>10.4</c:v>
                </c:pt>
                <c:pt idx="21">
                  <c:v>10.4</c:v>
                </c:pt>
                <c:pt idx="22">
                  <c:v>10.4</c:v>
                </c:pt>
                <c:pt idx="23">
                  <c:v>10.4</c:v>
                </c:pt>
                <c:pt idx="24">
                  <c:v>10.4</c:v>
                </c:pt>
                <c:pt idx="25">
                  <c:v>10.4</c:v>
                </c:pt>
                <c:pt idx="26">
                  <c:v>10.4</c:v>
                </c:pt>
                <c:pt idx="27">
                  <c:v>10.4</c:v>
                </c:pt>
                <c:pt idx="28">
                  <c:v>10.4</c:v>
                </c:pt>
                <c:pt idx="29">
                  <c:v>10.4</c:v>
                </c:pt>
                <c:pt idx="30">
                  <c:v>10.4</c:v>
                </c:pt>
                <c:pt idx="31">
                  <c:v>10.4</c:v>
                </c:pt>
                <c:pt idx="32">
                  <c:v>10.4</c:v>
                </c:pt>
                <c:pt idx="33">
                  <c:v>10.4</c:v>
                </c:pt>
                <c:pt idx="34">
                  <c:v>10.4</c:v>
                </c:pt>
                <c:pt idx="35">
                  <c:v>10.4</c:v>
                </c:pt>
                <c:pt idx="36">
                  <c:v>10.4</c:v>
                </c:pt>
                <c:pt idx="37">
                  <c:v>10.4</c:v>
                </c:pt>
                <c:pt idx="38">
                  <c:v>10.4</c:v>
                </c:pt>
                <c:pt idx="39">
                  <c:v>10.4</c:v>
                </c:pt>
                <c:pt idx="40">
                  <c:v>10.4</c:v>
                </c:pt>
                <c:pt idx="41">
                  <c:v>10.4</c:v>
                </c:pt>
                <c:pt idx="42">
                  <c:v>10.4</c:v>
                </c:pt>
                <c:pt idx="43">
                  <c:v>10.4</c:v>
                </c:pt>
                <c:pt idx="44">
                  <c:v>10.4</c:v>
                </c:pt>
                <c:pt idx="45">
                  <c:v>10.4</c:v>
                </c:pt>
                <c:pt idx="46">
                  <c:v>10.4</c:v>
                </c:pt>
                <c:pt idx="47">
                  <c:v>10.4</c:v>
                </c:pt>
                <c:pt idx="48">
                  <c:v>10.4</c:v>
                </c:pt>
                <c:pt idx="49">
                  <c:v>10.4</c:v>
                </c:pt>
                <c:pt idx="50">
                  <c:v>10.4</c:v>
                </c:pt>
                <c:pt idx="51">
                  <c:v>10.4</c:v>
                </c:pt>
                <c:pt idx="52">
                  <c:v>10.4</c:v>
                </c:pt>
                <c:pt idx="53">
                  <c:v>10.4</c:v>
                </c:pt>
                <c:pt idx="54">
                  <c:v>10.4</c:v>
                </c:pt>
                <c:pt idx="55">
                  <c:v>10.4</c:v>
                </c:pt>
                <c:pt idx="56">
                  <c:v>10.4</c:v>
                </c:pt>
                <c:pt idx="57">
                  <c:v>10.4</c:v>
                </c:pt>
                <c:pt idx="58">
                  <c:v>10.4</c:v>
                </c:pt>
                <c:pt idx="59">
                  <c:v>10.4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469376"/>
        <c:axId val="117858304"/>
      </c:lineChart>
      <c:catAx>
        <c:axId val="146469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strRef>
              <c:f>'Chart - Graphique'!$B$10</c:f>
              <c:strCache>
                <c:ptCount val="1"/>
                <c:pt idx="0">
                  <c:v>Année de projection</c:v>
                </c:pt>
              </c:strCache>
            </c:strRef>
          </c:tx>
          <c:layout>
            <c:manualLayout>
              <c:xMode val="edge"/>
              <c:yMode val="edge"/>
              <c:x val="0.45105880561922435"/>
              <c:y val="0.97205683121945163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Arial Narrow"/>
                  <a:ea typeface="Arial Narrow"/>
                  <a:cs typeface="Arial Narrow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17858304"/>
        <c:crosses val="autoZero"/>
        <c:auto val="1"/>
        <c:lblAlgn val="ctr"/>
        <c:lblOffset val="0"/>
        <c:tickLblSkip val="5"/>
        <c:tickMarkSkip val="5"/>
        <c:noMultiLvlLbl val="0"/>
      </c:catAx>
      <c:valAx>
        <c:axId val="117858304"/>
        <c:scaling>
          <c:orientation val="minMax"/>
          <c:max val="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strRef>
              <c:f>'Chart - Graphique'!$B$6</c:f>
              <c:strCache>
                <c:ptCount val="1"/>
                <c:pt idx="0">
                  <c:v>Taux de rendement annuel effectif jusqu'à échéance des obligations</c:v>
                </c:pt>
              </c:strCache>
            </c:strRef>
          </c:tx>
          <c:layout>
            <c:manualLayout>
              <c:xMode val="edge"/>
              <c:yMode val="edge"/>
              <c:x val="6.6137221569108513E-3"/>
              <c:y val="0.35728574347368258"/>
            </c:manualLayout>
          </c:layout>
          <c:overlay val="0"/>
          <c:spPr>
            <a:noFill/>
            <a:ln w="25400">
              <a:noFill/>
            </a:ln>
          </c:spPr>
          <c:txPr>
            <a:bodyPr rot="-5400000" vert="horz"/>
            <a:lstStyle/>
            <a:p>
              <a:pPr algn="ctr">
                <a:defRPr sz="900" b="1" i="0" u="none" strike="noStrike" baseline="0">
                  <a:solidFill>
                    <a:srgbClr val="000000"/>
                  </a:solidFill>
                  <a:latin typeface="Arial Narrow"/>
                  <a:ea typeface="Arial Narrow"/>
                  <a:cs typeface="Arial Narrow"/>
                </a:defRPr>
              </a:pPr>
              <a:endParaRPr lang="en-US"/>
            </a:p>
          </c:txPr>
        </c:title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46469376"/>
        <c:crosses val="autoZero"/>
        <c:crossBetween val="midCat"/>
        <c:majorUnit val="1"/>
        <c:minorUnit val="0.4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1" l="0.75000000000000377" r="0.75000000000000377" t="1" header="0.5" footer="0.5"/>
    <c:pageSetup orientation="landscape" horizontalDpi="1200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49</xdr:row>
          <xdr:rowOff>0</xdr:rowOff>
        </xdr:from>
        <xdr:to>
          <xdr:col>9</xdr:col>
          <xdr:colOff>476250</xdr:colOff>
          <xdr:row>51</xdr:row>
          <xdr:rowOff>0</xdr:rowOff>
        </xdr:to>
        <xdr:sp macro="" textlink="">
          <xdr:nvSpPr>
            <xdr:cNvPr id="101377" name="Button 1" hidden="1">
              <a:extLst>
                <a:ext uri="{63B3BB69-23CF-44E3-9099-C40C66FF867C}">
                  <a14:compatExt spid="_x0000_s101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Go Back to Top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49</xdr:row>
          <xdr:rowOff>0</xdr:rowOff>
        </xdr:from>
        <xdr:to>
          <xdr:col>9</xdr:col>
          <xdr:colOff>476250</xdr:colOff>
          <xdr:row>51</xdr:row>
          <xdr:rowOff>0</xdr:rowOff>
        </xdr:to>
        <xdr:sp macro="" textlink="">
          <xdr:nvSpPr>
            <xdr:cNvPr id="101378" name="Button 2" hidden="1">
              <a:extLst>
                <a:ext uri="{63B3BB69-23CF-44E3-9099-C40C66FF867C}">
                  <a14:compatExt spid="_x0000_s101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Go Back to Top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291108</xdr:colOff>
      <xdr:row>59</xdr:row>
      <xdr:rowOff>178156</xdr:rowOff>
    </xdr:from>
    <xdr:to>
      <xdr:col>59</xdr:col>
      <xdr:colOff>479496</xdr:colOff>
      <xdr:row>64</xdr:row>
      <xdr:rowOff>115224</xdr:rowOff>
    </xdr:to>
    <xdr:sp macro="" textlink="$U$61">
      <xdr:nvSpPr>
        <xdr:cNvPr id="5" name="TextBox 4"/>
        <xdr:cNvSpPr txBox="1"/>
      </xdr:nvSpPr>
      <xdr:spPr>
        <a:xfrm>
          <a:off x="9037543" y="10887569"/>
          <a:ext cx="9630562" cy="8481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27F218C3-E84C-4221-AB3F-F09D1606D936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Note: Il y a des formules dans les cellules N56 à R57 en police blanche</a:t>
          </a:fld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15</xdr:row>
          <xdr:rowOff>76200</xdr:rowOff>
        </xdr:from>
        <xdr:to>
          <xdr:col>9</xdr:col>
          <xdr:colOff>390525</xdr:colOff>
          <xdr:row>19</xdr:row>
          <xdr:rowOff>19050</xdr:rowOff>
        </xdr:to>
        <xdr:sp macro="" textlink="">
          <xdr:nvSpPr>
            <xdr:cNvPr id="103459" name="Object 35" hidden="1">
              <a:extLst>
                <a:ext uri="{63B3BB69-23CF-44E3-9099-C40C66FF867C}">
                  <a14:compatExt spid="_x0000_s103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</xdr:row>
          <xdr:rowOff>38100</xdr:rowOff>
        </xdr:from>
        <xdr:to>
          <xdr:col>8</xdr:col>
          <xdr:colOff>76200</xdr:colOff>
          <xdr:row>12</xdr:row>
          <xdr:rowOff>152400</xdr:rowOff>
        </xdr:to>
        <xdr:sp macro="" textlink="">
          <xdr:nvSpPr>
            <xdr:cNvPr id="103462" name="Object 38" hidden="1">
              <a:extLst>
                <a:ext uri="{63B3BB69-23CF-44E3-9099-C40C66FF867C}">
                  <a14:compatExt spid="_x0000_s103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21</xdr:row>
          <xdr:rowOff>95250</xdr:rowOff>
        </xdr:from>
        <xdr:to>
          <xdr:col>8</xdr:col>
          <xdr:colOff>104775</xdr:colOff>
          <xdr:row>25</xdr:row>
          <xdr:rowOff>133350</xdr:rowOff>
        </xdr:to>
        <xdr:sp macro="" textlink="">
          <xdr:nvSpPr>
            <xdr:cNvPr id="103463" name="Object 39" hidden="1">
              <a:extLst>
                <a:ext uri="{63B3BB69-23CF-44E3-9099-C40C66FF867C}">
                  <a14:compatExt spid="_x0000_s103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15</xdr:col>
      <xdr:colOff>200025</xdr:colOff>
      <xdr:row>7</xdr:row>
      <xdr:rowOff>85725</xdr:rowOff>
    </xdr:from>
    <xdr:to>
      <xdr:col>15</xdr:col>
      <xdr:colOff>276225</xdr:colOff>
      <xdr:row>7</xdr:row>
      <xdr:rowOff>142875</xdr:rowOff>
    </xdr:to>
    <xdr:grpSp>
      <xdr:nvGrpSpPr>
        <xdr:cNvPr id="9" name="Group 13"/>
        <xdr:cNvGrpSpPr>
          <a:grpSpLocks/>
        </xdr:cNvGrpSpPr>
      </xdr:nvGrpSpPr>
      <xdr:grpSpPr bwMode="auto">
        <a:xfrm>
          <a:off x="7456343" y="1323975"/>
          <a:ext cx="76200" cy="57150"/>
          <a:chOff x="525" y="22"/>
          <a:chExt cx="8" cy="6"/>
        </a:xfrm>
      </xdr:grpSpPr>
      <xdr:sp macro="" textlink="">
        <xdr:nvSpPr>
          <xdr:cNvPr id="10" name="Line 11"/>
          <xdr:cNvSpPr>
            <a:spLocks noChangeShapeType="1"/>
          </xdr:cNvSpPr>
        </xdr:nvSpPr>
        <xdr:spPr bwMode="auto">
          <a:xfrm>
            <a:off x="525" y="22"/>
            <a:ext cx="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Line 12"/>
          <xdr:cNvSpPr>
            <a:spLocks noChangeShapeType="1"/>
          </xdr:cNvSpPr>
        </xdr:nvSpPr>
        <xdr:spPr bwMode="auto">
          <a:xfrm>
            <a:off x="533" y="22"/>
            <a:ext cx="0" cy="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133350</xdr:rowOff>
    </xdr:from>
    <xdr:to>
      <xdr:col>15</xdr:col>
      <xdr:colOff>419100</xdr:colOff>
      <xdr:row>60</xdr:row>
      <xdr:rowOff>114300</xdr:rowOff>
    </xdr:to>
    <xdr:graphicFrame macro="">
      <xdr:nvGraphicFramePr>
        <xdr:cNvPr id="1619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14</xdr:row>
      <xdr:rowOff>171450</xdr:rowOff>
    </xdr:from>
    <xdr:to>
      <xdr:col>22</xdr:col>
      <xdr:colOff>19050</xdr:colOff>
      <xdr:row>15</xdr:row>
      <xdr:rowOff>114300</xdr:rowOff>
    </xdr:to>
    <xdr:sp macro="" textlink="">
      <xdr:nvSpPr>
        <xdr:cNvPr id="108812" name="Text Box 2"/>
        <xdr:cNvSpPr txBox="1">
          <a:spLocks noChangeArrowheads="1"/>
        </xdr:cNvSpPr>
      </xdr:nvSpPr>
      <xdr:spPr bwMode="auto">
        <a:xfrm>
          <a:off x="2400300" y="1438275"/>
          <a:ext cx="190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LM\CFVM\2006Q2\Deterministic%20Scenarios%20New%20v2\CDN%20Deterministic%20Scenarios\YLDCRV7.5%202006Q2%20IF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terest%20Rate%20Scenarios/2014Q1%20-%20Mar%2014%202014/Det/ASB%20QIS/Phase%203/Yield%20Curve%20History%20and%20Scenario%20Builder%20formulas%20-%20Mar%2014%20rates%20-%20New%20Standar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CalcBase"/>
      <sheetName val="CalcUp"/>
      <sheetName val="CalcDown"/>
      <sheetName val="OutBase"/>
      <sheetName val="OutUp"/>
      <sheetName val="OutDow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ummary"/>
      <sheetName val="BoC rates"/>
      <sheetName val="Graphs (Original)"/>
      <sheetName val="Spots Conversion"/>
      <sheetName val="rates"/>
      <sheetName val="Graphs"/>
      <sheetName val="Base"/>
      <sheetName val="SC1"/>
      <sheetName val="SC2"/>
      <sheetName val="SC3"/>
      <sheetName val="SC4"/>
      <sheetName val="SC5"/>
      <sheetName val="SC6"/>
      <sheetName val="SC7"/>
      <sheetName val="SC8"/>
      <sheetName val="Assumptions for AXIS Export"/>
      <sheetName val="AXIS Export"/>
      <sheetName val="V122544-pre96 LT"/>
      <sheetName val="V122531-pre96 (90day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K5">
            <v>3.3000000000000002E-2</v>
          </cell>
          <cell r="M5">
            <v>0.104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0000FF"/>
      </a:dk2>
      <a:lt2>
        <a:srgbClr val="EEECE1"/>
      </a:lt2>
      <a:accent1>
        <a:srgbClr val="FFFF99"/>
      </a:accent1>
      <a:accent2>
        <a:srgbClr val="C0504D"/>
      </a:accent2>
      <a:accent3>
        <a:srgbClr val="CCFFCC"/>
      </a:accent3>
      <a:accent4>
        <a:srgbClr val="CCCCFF"/>
      </a:accent4>
      <a:accent5>
        <a:srgbClr val="FFCCFF"/>
      </a:accent5>
      <a:accent6>
        <a:srgbClr val="FFCC6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9">
    <pageSetUpPr fitToPage="1"/>
  </sheetPr>
  <dimension ref="A1:L15"/>
  <sheetViews>
    <sheetView showGridLines="0" tabSelected="1" zoomScaleNormal="100" zoomScaleSheetLayoutView="100" workbookViewId="0">
      <selection activeCell="C9" sqref="C9"/>
    </sheetView>
  </sheetViews>
  <sheetFormatPr defaultColWidth="8.85546875" defaultRowHeight="12.75"/>
  <cols>
    <col min="1" max="1" width="1.140625" style="5" customWidth="1"/>
    <col min="2" max="2" width="10.7109375" style="5" customWidth="1"/>
    <col min="3" max="7" width="20.7109375" style="5" customWidth="1"/>
    <col min="8" max="8" width="11.85546875" style="5" customWidth="1"/>
    <col min="9" max="9" width="11.28515625" style="5" customWidth="1"/>
    <col min="10" max="10" width="10.42578125" style="5" customWidth="1"/>
    <col min="11" max="11" width="2.5703125" style="4" customWidth="1"/>
    <col min="12" max="12" width="1.5703125" style="5" customWidth="1"/>
    <col min="13" max="13" width="1.140625" style="5" customWidth="1"/>
    <col min="14" max="16384" width="8.85546875" style="5"/>
  </cols>
  <sheetData>
    <row r="1" spans="1:12" ht="15.75">
      <c r="B1" s="3"/>
    </row>
    <row r="2" spans="1:12" ht="14.25" customHeight="1"/>
    <row r="3" spans="1:12" ht="14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13"/>
      <c r="L3" s="6"/>
    </row>
    <row r="4" spans="1:12" ht="14.25" customHeight="1">
      <c r="A4" s="6"/>
      <c r="B4" s="3" t="str">
        <f>INDEX(Équivalences!$C$2:$D$397,MATCH("Description of Scenario by Projection Year",Équivalences!$C$2:$C$397,0), langue)</f>
        <v>Description de scénario par année de projection</v>
      </c>
      <c r="C4" s="6"/>
      <c r="D4" s="6"/>
      <c r="E4" s="6"/>
      <c r="F4" s="6"/>
      <c r="G4" s="6"/>
      <c r="H4" s="6"/>
      <c r="I4" s="6"/>
      <c r="J4" s="6"/>
      <c r="K4" s="13"/>
      <c r="L4" s="6"/>
    </row>
    <row r="5" spans="1:12" ht="14.2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13"/>
      <c r="L5" s="6"/>
    </row>
    <row r="6" spans="1:12" s="30" customFormat="1" ht="14.25" customHeight="1">
      <c r="A6" s="26"/>
      <c r="B6" s="112"/>
      <c r="C6" s="243"/>
      <c r="D6" s="244"/>
      <c r="E6" s="244"/>
      <c r="F6" s="244"/>
      <c r="G6" s="244"/>
      <c r="H6" s="244"/>
      <c r="I6" s="244"/>
      <c r="J6" s="244"/>
      <c r="K6" s="244"/>
      <c r="L6" s="26"/>
    </row>
    <row r="7" spans="1:12" ht="14.25" customHeight="1">
      <c r="A7" s="6"/>
      <c r="B7" s="236" t="str">
        <f>INDEX(Équivalences!$C$2:$D$397,MATCH("Scenario",Équivalences!$C$2:$C$397,0), langue)</f>
        <v>Scénario</v>
      </c>
      <c r="C7" s="238" t="str">
        <f>INDEX(Équivalences!$C$2:$D$397,MATCH("Projection Year",Équivalences!$C$2:$C$397,0), langue)</f>
        <v>Année de projection</v>
      </c>
      <c r="D7" s="239"/>
      <c r="E7" s="239"/>
      <c r="F7" s="239"/>
      <c r="G7" s="240"/>
      <c r="H7" s="245" t="str">
        <f>INDEX(Équivalences!$C$2:$D$397,MATCH("Description",Équivalences!$C$2:$C$397,0), langue)</f>
        <v>Description</v>
      </c>
      <c r="I7" s="246"/>
      <c r="J7" s="246"/>
      <c r="K7" s="247"/>
      <c r="L7" s="24"/>
    </row>
    <row r="8" spans="1:12" ht="14.25" customHeight="1">
      <c r="A8" s="6"/>
      <c r="B8" s="237"/>
      <c r="C8" s="113" t="str">
        <f>INDEX(Équivalences!$C$2:$D$397,MATCH("0-20",Équivalences!$C$2:$C$397,0), langue)</f>
        <v>0-20</v>
      </c>
      <c r="D8" s="114" t="str">
        <f>INDEX(Équivalences!$C$2:$D$397,MATCH("21-39",Équivalences!$C$2:$C$397,0), langue)</f>
        <v>21-39</v>
      </c>
      <c r="E8" s="114">
        <v>40</v>
      </c>
      <c r="F8" s="114" t="str">
        <f>INDEX(Équivalences!$C$2:$D$397,MATCH("41-59",Équivalences!$C$2:$C$397,0), langue)</f>
        <v>41-59</v>
      </c>
      <c r="G8" s="115" t="s">
        <v>51</v>
      </c>
      <c r="H8" s="248"/>
      <c r="I8" s="249"/>
      <c r="J8" s="249"/>
      <c r="K8" s="250"/>
      <c r="L8" s="24"/>
    </row>
    <row r="9" spans="1:12" ht="61.5" customHeight="1">
      <c r="A9" s="6"/>
      <c r="B9" s="116" t="str">
        <f>INDEX(Équivalences!$C$2:$D$397,MATCH("Base",Équivalences!$C$2:$C$397,0), langue)</f>
        <v>Base</v>
      </c>
      <c r="C9" s="116" t="str">
        <f>INDEX(Équivalences!$C$2:$D$397,MATCH("Implied Forwards for first 20 years",Équivalences!$C$2:$C$397,0), langue)</f>
        <v>Taux de rendement implicite pour 20 ans</v>
      </c>
      <c r="D9" s="116" t="str">
        <f>INDEX(Équivalences!$C$2:$D$397,MATCH("Uniform Transition",Équivalences!$C$2:$C$397,0), langue)</f>
        <v>Transition uniforme</v>
      </c>
      <c r="E9" s="116" t="str">
        <f>INDEX(Équivalences!$C$2:$D$397,MATCH("30%*20 yr +70%*60 yr",Équivalences!$C$2:$C$397,0), langue)</f>
        <v>30%*20 ans +70%*60 ans</v>
      </c>
      <c r="F9" s="116" t="str">
        <f>INDEX(Équivalences!$C$2:$D$397,MATCH("Uniform Transition",Équivalences!$C$2:$C$397,0), langue)</f>
        <v>Transition uniforme</v>
      </c>
      <c r="G9" s="116" t="str">
        <f>INDEX(Équivalences!$C$2:$D$397,MATCH("Median URR (4%/5.3%)",Équivalences!$C$2:$C$397,0), langue)</f>
        <v>TRU médian (4%/5,3%)</v>
      </c>
      <c r="H9" s="241" t="str">
        <f>INDEX(Équivalences!$C$2:$D$397,MATCH("Base Interest Rate Scenario (forward rates for first 20 years based on the current yield curve; Nodal point at Year 40; Prescribed Median by Year 60)",Équivalences!$C$2:$C$397,0), langue)</f>
        <v>'Scénario de base de taux d'intérêt (taux à terme pour les 20 premières années fondés sur la courbe de rendement actuelle; point nodal à l'année 40; taux médian prescrit à l'année 60)</v>
      </c>
      <c r="I9" s="242"/>
      <c r="J9" s="242"/>
      <c r="K9" s="242"/>
      <c r="L9" s="24"/>
    </row>
    <row r="10" spans="1:12" ht="14.25" customHeight="1"/>
    <row r="14" spans="1:12">
      <c r="B14" s="2"/>
    </row>
    <row r="15" spans="1:12">
      <c r="B15" s="68"/>
      <c r="C15" s="6"/>
      <c r="D15" s="6"/>
      <c r="F15" s="6"/>
      <c r="G15" s="6"/>
      <c r="H15" s="6"/>
      <c r="I15" s="6"/>
      <c r="J15" s="6"/>
    </row>
  </sheetData>
  <sheetProtection selectLockedCells="1"/>
  <mergeCells count="5">
    <mergeCell ref="B7:B8"/>
    <mergeCell ref="C7:G7"/>
    <mergeCell ref="H9:K9"/>
    <mergeCell ref="C6:K6"/>
    <mergeCell ref="H7:K8"/>
  </mergeCells>
  <phoneticPr fontId="2" type="noConversion"/>
  <pageMargins left="0.78740157480314998" right="0.69" top="0.69" bottom="0.66" header="0.5" footer="0.47244094488188998"/>
  <pageSetup scale="80" orientation="landscape" horizontalDpi="1200" r:id="rId1"/>
  <headerFooter alignWithMargins="0">
    <oddHeader>&amp;R&amp;"Arial Narrow,Italic"&amp;8&amp;D</oddHeader>
    <oddFooter>&amp;L&amp;"Arial Narrow,Italic"&amp;8&amp;F&amp;R&amp;"Arial Narrow,Italic"&amp;8Page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1377" r:id="rId4" name="Button 1">
              <controlPr defaultSize="0" print="0" autoFill="0" autoPict="0" macro="[0]!BackToTop">
                <anchor moveWithCells="1">
                  <from>
                    <xdr:col>8</xdr:col>
                    <xdr:colOff>28575</xdr:colOff>
                    <xdr:row>49</xdr:row>
                    <xdr:rowOff>0</xdr:rowOff>
                  </from>
                  <to>
                    <xdr:col>9</xdr:col>
                    <xdr:colOff>476250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78" r:id="rId5" name="Button 2">
              <controlPr defaultSize="0" print="0" autoFill="0" autoPict="0">
                <anchor moveWithCells="1">
                  <from>
                    <xdr:col>8</xdr:col>
                    <xdr:colOff>28575</xdr:colOff>
                    <xdr:row>49</xdr:row>
                    <xdr:rowOff>0</xdr:rowOff>
                  </from>
                  <to>
                    <xdr:col>9</xdr:col>
                    <xdr:colOff>476250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B8"/>
  <sheetViews>
    <sheetView showGridLines="0" workbookViewId="0">
      <selection activeCell="C21" sqref="C21"/>
    </sheetView>
  </sheetViews>
  <sheetFormatPr defaultColWidth="9.140625" defaultRowHeight="12.75"/>
  <sheetData>
    <row r="1" spans="1:2">
      <c r="A1" t="str">
        <f>INDEX(Équivalences!$C$2:$D$397,MATCH("CIA DISCLAIMER",Équivalences!$C$2:$C$397,0), langue)</f>
        <v>Limitation de responsabilité de l'ICA</v>
      </c>
    </row>
    <row r="4" spans="1:2" ht="15.75">
      <c r="A4" s="215" t="str">
        <f>INDEX(Équivalences!$C$2:$D$397,MATCH("The CIA is not responsible for the accuracy of this spreadsheet, and users must rely on their own judgment and expertise",Équivalences!$C$2:$C$397,0), langue)</f>
        <v xml:space="preserve">L’ICA ne répond pas de l’exactitude du tableur et les utilisateurs doivent faire preuve de discernement et se référer à leur expertise </v>
      </c>
    </row>
    <row r="5" spans="1:2" ht="15.75">
      <c r="B5" s="215" t="str">
        <f>INDEX(Équivalences!$C$2:$D$397,MATCH("before choosing to use any of the material it contains.",Équivalences!$C$2:$C$397,0), langue)</f>
        <v>avant de choisir d’utiliser le matériel qu’il renferme.</v>
      </c>
    </row>
    <row r="7" spans="1:2" ht="15.75">
      <c r="A7" s="215"/>
    </row>
    <row r="8" spans="1:2" ht="15.75">
      <c r="B8" s="215"/>
    </row>
  </sheetData>
  <pageMargins left="0.5" right="0.25" top="0.75" bottom="0.25" header="0.3" footer="0.05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B1:I41"/>
  <sheetViews>
    <sheetView showGridLines="0" workbookViewId="0">
      <selection activeCell="M18" sqref="M18"/>
    </sheetView>
  </sheetViews>
  <sheetFormatPr defaultColWidth="9.140625" defaultRowHeight="12.75"/>
  <cols>
    <col min="1" max="1" width="2.85546875" customWidth="1"/>
    <col min="2" max="2" width="14.28515625" customWidth="1"/>
    <col min="3" max="3" width="12.5703125" customWidth="1"/>
    <col min="4" max="4" width="13.28515625" customWidth="1"/>
    <col min="5" max="5" width="6.7109375" customWidth="1"/>
    <col min="6" max="6" width="19.85546875" bestFit="1" customWidth="1"/>
    <col min="7" max="7" width="11.28515625" bestFit="1" customWidth="1"/>
    <col min="8" max="8" width="21" bestFit="1" customWidth="1"/>
    <col min="9" max="9" width="15.5703125" bestFit="1" customWidth="1"/>
  </cols>
  <sheetData>
    <row r="1" spans="2:9" ht="18">
      <c r="B1" s="192" t="str">
        <f>INDEX(Équivalences!$C$2:$D$397,MATCH("Inputs for Derivation of Forward Par Curve",Équivalences!$C$2:$C$397,0), langue)</f>
        <v>Données pour calcul de courbe de taux au pair et à terme</v>
      </c>
      <c r="C1" s="4"/>
      <c r="D1" s="4"/>
      <c r="H1" t="s">
        <v>353</v>
      </c>
      <c r="I1" t="s">
        <v>414</v>
      </c>
    </row>
    <row r="3" spans="2:9">
      <c r="F3" s="184"/>
      <c r="G3" s="182"/>
      <c r="H3" s="182"/>
      <c r="I3" s="183"/>
    </row>
    <row r="4" spans="2:9" ht="15.75">
      <c r="B4" s="193" t="str">
        <f>INDEX(Équivalences!$C$2:$D$397,MATCH("Current Par Yield Curve (Annualized Yields)",Équivalences!$C$2:$C$397,0), langue)</f>
        <v>Courbes de rendement au pair courante des obligations (annualisées)</v>
      </c>
      <c r="D4" s="173"/>
    </row>
    <row r="5" spans="2:9" ht="13.5" thickBot="1">
      <c r="F5" s="185"/>
      <c r="G5" s="177"/>
      <c r="H5" s="178"/>
      <c r="I5" s="177"/>
    </row>
    <row r="6" spans="2:9">
      <c r="B6" s="171" t="str">
        <f>INDEX(Équivalences!$C$2:$D$397,MATCH("Term",Équivalences!$C$2:$C$397,0), langue)</f>
        <v>Terme</v>
      </c>
      <c r="C6" s="172" t="str">
        <f>INDEX(Équivalences!$C$2:$D$397,MATCH("1YR",Équivalences!$C$2:$C$397,0), langue)</f>
        <v>1 an</v>
      </c>
      <c r="D6" s="187">
        <v>0.01</v>
      </c>
      <c r="G6" s="179"/>
      <c r="H6" s="180"/>
      <c r="I6" s="181"/>
    </row>
    <row r="7" spans="2:9">
      <c r="B7" s="170"/>
      <c r="C7" s="172" t="str">
        <f>INDEX(Équivalences!$C$2:$D$397,MATCH("2YR",Équivalences!$C$2:$C$397,0), langue)</f>
        <v>2 ans</v>
      </c>
      <c r="D7" s="188">
        <v>0.01</v>
      </c>
      <c r="G7" s="179"/>
      <c r="H7" s="180"/>
      <c r="I7" s="181"/>
    </row>
    <row r="8" spans="2:9">
      <c r="B8" s="170"/>
      <c r="C8" s="172" t="str">
        <f>INDEX(Équivalences!$C$2:$D$397,MATCH("3YR",Équivalences!$C$2:$C$397,0), langue)</f>
        <v>3 ans</v>
      </c>
      <c r="D8" s="188">
        <v>1.0999999999999999E-2</v>
      </c>
      <c r="G8" s="179"/>
      <c r="H8" s="180"/>
      <c r="I8" s="181"/>
    </row>
    <row r="9" spans="2:9">
      <c r="B9" s="170"/>
      <c r="C9" s="172" t="str">
        <f>INDEX(Équivalences!$C$2:$D$397,MATCH("4YR",Équivalences!$C$2:$C$397,0), langue)</f>
        <v>4 ans</v>
      </c>
      <c r="D9" s="188">
        <v>1.2E-2</v>
      </c>
      <c r="G9" s="179"/>
      <c r="H9" s="180"/>
      <c r="I9" s="181"/>
    </row>
    <row r="10" spans="2:9">
      <c r="B10" s="170"/>
      <c r="C10" s="172" t="str">
        <f>INDEX(Équivalences!$C$2:$D$397,MATCH("5YR",Équivalences!$C$2:$C$397,0), langue)</f>
        <v>5 ans</v>
      </c>
      <c r="D10" s="188">
        <v>1.2999999999999999E-2</v>
      </c>
      <c r="G10" s="179"/>
      <c r="H10" s="180"/>
      <c r="I10" s="181"/>
    </row>
    <row r="11" spans="2:9">
      <c r="B11" s="170"/>
      <c r="C11" s="172" t="str">
        <f>INDEX(Équivalences!$C$2:$D$397,MATCH("7YR",Équivalences!$C$2:$C$397,0), langue)</f>
        <v>7 ans</v>
      </c>
      <c r="D11" s="188">
        <v>1.4999999999999999E-2</v>
      </c>
      <c r="G11" s="179"/>
      <c r="H11" s="180"/>
      <c r="I11" s="181"/>
    </row>
    <row r="12" spans="2:9">
      <c r="B12" s="170"/>
      <c r="C12" s="172" t="str">
        <f>INDEX(Équivalences!$C$2:$D$397,MATCH("10YR",Équivalences!$C$2:$C$397,0), langue)</f>
        <v>10 ans</v>
      </c>
      <c r="D12" s="188">
        <v>1.7999999999999999E-2</v>
      </c>
      <c r="G12" s="179"/>
      <c r="H12" s="180"/>
      <c r="I12" s="181"/>
    </row>
    <row r="13" spans="2:9">
      <c r="B13" s="170"/>
      <c r="C13" s="172" t="str">
        <f>INDEX(Équivalences!$C$2:$D$397,MATCH("20YR",Équivalences!$C$2:$C$397,0), langue)</f>
        <v>20 ans</v>
      </c>
      <c r="D13" s="188">
        <v>2.3E-2</v>
      </c>
      <c r="G13" s="179"/>
      <c r="H13" s="180"/>
      <c r="I13" s="181"/>
    </row>
    <row r="14" spans="2:9">
      <c r="B14" s="170"/>
      <c r="C14" s="172" t="str">
        <f>INDEX(Équivalences!$C$2:$D$397,MATCH("25YR",Équivalences!$C$2:$C$397,0), langue)</f>
        <v>25 ans</v>
      </c>
      <c r="D14" s="188">
        <v>0.02</v>
      </c>
      <c r="G14" s="179"/>
      <c r="H14" s="180"/>
      <c r="I14" s="180"/>
    </row>
    <row r="15" spans="2:9" ht="13.5" thickBot="1">
      <c r="B15" s="170"/>
      <c r="C15" s="172" t="str">
        <f>INDEX(Équivalences!$C$2:$D$397,MATCH("30YR",Équivalences!$C$2:$C$397,0), langue)</f>
        <v>30 ans</v>
      </c>
      <c r="D15" s="189">
        <v>0.02</v>
      </c>
      <c r="G15" s="179"/>
      <c r="H15" s="180"/>
      <c r="I15" s="181"/>
    </row>
    <row r="18" spans="2:6" ht="15.75" customHeight="1">
      <c r="B18" s="194" t="str">
        <f>INDEX(Équivalences!$C$2:$D$397,MATCH("Median URR",Équivalences!$C$2:$C$397,0), langue)</f>
        <v>TRU médian</v>
      </c>
      <c r="C18" s="190"/>
    </row>
    <row r="19" spans="2:6" ht="7.5" customHeight="1" thickBot="1">
      <c r="C19" s="190"/>
      <c r="D19" s="191"/>
    </row>
    <row r="20" spans="2:6" ht="13.5" thickBot="1">
      <c r="B20" s="171" t="str">
        <f>INDEX(Équivalences!$C$2:$D$397,MATCH("Term",Équivalences!$C$2:$C$397,0), langue)</f>
        <v>Terme</v>
      </c>
      <c r="C20" s="172" t="str">
        <f>INDEX(Équivalences!$C$2:$D$397,MATCH("1YR (short)",Équivalences!$C$2:$C$397,0), langue)</f>
        <v>1 an (court)</v>
      </c>
      <c r="D20" s="174">
        <v>0.04</v>
      </c>
      <c r="E20" s="198"/>
      <c r="F20" s="197" t="str">
        <f>INDEX(Équivalences!$C$2:$D$397,MATCH("as promulgated in Section 3.2 of CIA document #214046 (May 2014)",Équivalences!$C$2:$C$397,0), langue)</f>
        <v>comme promulgué dans la section 3.2 du document #214046 de l'ICA (mai 2014)</v>
      </c>
    </row>
    <row r="21" spans="2:6" ht="13.5" thickBot="1">
      <c r="C21" s="172" t="str">
        <f>INDEX(Équivalences!$C$2:$D$397,MATCH("20YR (long)",Équivalences!$C$2:$C$397,0), langue)</f>
        <v>20 ans (long)</v>
      </c>
      <c r="D21" s="174">
        <v>5.2999999999999999E-2</v>
      </c>
      <c r="E21" s="198"/>
      <c r="F21" s="175"/>
    </row>
    <row r="22" spans="2:6">
      <c r="F22" s="196"/>
    </row>
    <row r="23" spans="2:6" ht="15" customHeight="1" thickBot="1"/>
    <row r="24" spans="2:6">
      <c r="B24" s="171" t="str">
        <f>INDEX(Équivalences!$C$2:$D$397,MATCH("Term",Équivalences!$C$2:$C$397,0), langue)</f>
        <v>Terme</v>
      </c>
      <c r="C24" s="172" t="str">
        <f>INDEX(Équivalences!$C$2:$D$397,MATCH("2YR",Équivalences!$C$2:$C$397,0), langue)</f>
        <v>2 ans</v>
      </c>
      <c r="D24" s="187">
        <v>4.2999999999999997E-2</v>
      </c>
      <c r="F24" s="191" t="str">
        <f>INDEX(Équivalences!$C$2:$D$397,MATCH("developed by the actuary per Standards of Practice 2330.09.02",Équivalences!$C$2:$C$397,0), langue)</f>
        <v>développé par l'actuaire selon les normes de pratique 2330.09.02</v>
      </c>
    </row>
    <row r="25" spans="2:6">
      <c r="C25" s="172" t="str">
        <f>INDEX(Équivalences!$C$2:$D$397,MATCH("3YR",Équivalences!$C$2:$C$397,0), langue)</f>
        <v>3 ans</v>
      </c>
      <c r="D25" s="188">
        <v>4.5999999999999999E-2</v>
      </c>
      <c r="F25" s="195" t="str">
        <f>INDEX(Équivalences!$C$2:$D$397,MATCH("Ultimate risk-free reinvestment rates at other terms would be determined",Équivalences!$C$2:$C$397,0), langue)</f>
        <v>Taux de réinvestissement sans risque ultime à d'autres durées pourraient être déterminés</v>
      </c>
    </row>
    <row r="26" spans="2:6">
      <c r="C26" s="172" t="str">
        <f>INDEX(Équivalences!$C$2:$D$397,MATCH("4YR",Équivalences!$C$2:$C$397,0), langue)</f>
        <v>4 ans</v>
      </c>
      <c r="D26" s="188">
        <v>4.7E-2</v>
      </c>
      <c r="F26" s="195" t="str">
        <f>INDEX(Équivalences!$C$2:$D$397,MATCH("in accordance with the historical relationship between rates at those terms",Équivalences!$C$2:$C$397,0), langue)</f>
        <v>selon la relation historique entre ces taux à ces échéances</v>
      </c>
    </row>
    <row r="27" spans="2:6">
      <c r="C27" s="172" t="str">
        <f>INDEX(Équivalences!$C$2:$D$397,MATCH("5YR",Équivalences!$C$2:$C$397,0), langue)</f>
        <v>5 ans</v>
      </c>
      <c r="D27" s="188">
        <v>4.8000000000000001E-2</v>
      </c>
      <c r="F27" s="195" t="str">
        <f>INDEX(Équivalences!$C$2:$D$397,MATCH("and the short- and long-term rates",Équivalences!$C$2:$C$397,0), langue)</f>
        <v>et les taux de courtes et longues durées</v>
      </c>
    </row>
    <row r="28" spans="2:6">
      <c r="C28" s="172" t="str">
        <f>INDEX(Équivalences!$C$2:$D$397,MATCH("6YR",Équivalences!$C$2:$C$397,0), langue)</f>
        <v>6 ans</v>
      </c>
      <c r="D28" s="188">
        <v>4.8500000000000001E-2</v>
      </c>
    </row>
    <row r="29" spans="2:6">
      <c r="C29" s="172" t="str">
        <f>INDEX(Équivalences!$C$2:$D$397,MATCH("7YR",Équivalences!$C$2:$C$397,0), langue)</f>
        <v>7 ans</v>
      </c>
      <c r="D29" s="188">
        <v>4.9000000000000002E-2</v>
      </c>
    </row>
    <row r="30" spans="2:6">
      <c r="C30" s="172" t="str">
        <f>INDEX(Équivalences!$C$2:$D$397,MATCH("8YR",Équivalences!$C$2:$C$397,0), langue)</f>
        <v>8 ans</v>
      </c>
      <c r="D30" s="188">
        <v>0.05</v>
      </c>
    </row>
    <row r="31" spans="2:6">
      <c r="C31" s="172" t="str">
        <f>INDEX(Équivalences!$C$2:$D$397,MATCH("9YR",Équivalences!$C$2:$C$397,0), langue)</f>
        <v>9 ans</v>
      </c>
      <c r="D31" s="188">
        <v>5.0500000000000003E-2</v>
      </c>
    </row>
    <row r="32" spans="2:6">
      <c r="C32" s="172" t="str">
        <f>INDEX(Équivalences!$C$2:$D$397,MATCH("10YR",Équivalences!$C$2:$C$397,0), langue)</f>
        <v>10 ans</v>
      </c>
      <c r="D32" s="188">
        <v>5.0999999999999997E-2</v>
      </c>
    </row>
    <row r="33" spans="3:4">
      <c r="C33" s="172" t="str">
        <f>INDEX(Équivalences!$C$2:$D$397,MATCH("11YR",Équivalences!$C$2:$C$397,0), langue)</f>
        <v>11 ans</v>
      </c>
      <c r="D33" s="188">
        <v>5.1200000000000002E-2</v>
      </c>
    </row>
    <row r="34" spans="3:4">
      <c r="C34" s="172" t="str">
        <f>INDEX(Équivalences!$C$2:$D$397,MATCH("12YR",Équivalences!$C$2:$C$397,0), langue)</f>
        <v>12 ans</v>
      </c>
      <c r="D34" s="188">
        <v>5.1400000000000001E-2</v>
      </c>
    </row>
    <row r="35" spans="3:4">
      <c r="C35" s="172" t="str">
        <f>INDEX(Équivalences!$C$2:$D$397,MATCH("13YR",Équivalences!$C$2:$C$397,0), langue)</f>
        <v>13 ans</v>
      </c>
      <c r="D35" s="188">
        <v>5.16E-2</v>
      </c>
    </row>
    <row r="36" spans="3:4">
      <c r="C36" s="172" t="str">
        <f>INDEX(Équivalences!$C$2:$D$397,MATCH("14YR",Équivalences!$C$2:$C$397,0), langue)</f>
        <v>14 ans</v>
      </c>
      <c r="D36" s="188">
        <v>5.1799999999999999E-2</v>
      </c>
    </row>
    <row r="37" spans="3:4">
      <c r="C37" s="172" t="str">
        <f>INDEX(Équivalences!$C$2:$D$397,MATCH("15YR",Équivalences!$C$2:$C$397,0), langue)</f>
        <v>15 ans</v>
      </c>
      <c r="D37" s="188">
        <v>5.1999999999999998E-2</v>
      </c>
    </row>
    <row r="38" spans="3:4">
      <c r="C38" s="172" t="str">
        <f>INDEX(Équivalences!$C$2:$D$397,MATCH("16YR",Équivalences!$C$2:$C$397,0), langue)</f>
        <v>16 ans</v>
      </c>
      <c r="D38" s="188">
        <v>5.2200000000000003E-2</v>
      </c>
    </row>
    <row r="39" spans="3:4">
      <c r="C39" s="172" t="str">
        <f>INDEX(Équivalences!$C$2:$D$397,MATCH("17YR",Équivalences!$C$2:$C$397,0), langue)</f>
        <v>17 ans</v>
      </c>
      <c r="D39" s="188">
        <v>5.2400000000000002E-2</v>
      </c>
    </row>
    <row r="40" spans="3:4">
      <c r="C40" s="172" t="str">
        <f>INDEX(Équivalences!$C$2:$D$397,MATCH("18YR",Équivalences!$C$2:$C$397,0), langue)</f>
        <v>18 ans</v>
      </c>
      <c r="D40" s="188">
        <v>5.2600000000000001E-2</v>
      </c>
    </row>
    <row r="41" spans="3:4" ht="13.5" thickBot="1">
      <c r="C41" s="172" t="str">
        <f>INDEX(Équivalences!$C$2:$D$397,MATCH("19YR",Équivalences!$C$2:$C$397,0), langue)</f>
        <v>19 ans</v>
      </c>
      <c r="D41" s="189">
        <v>5.28E-2</v>
      </c>
    </row>
  </sheetData>
  <dataValidations count="1">
    <dataValidation type="list" allowBlank="1" showInputMessage="1" showErrorMessage="1" sqref="I1">
      <formula1>"Français / French,Anglais / English"</formula1>
    </dataValidation>
  </dataValidations>
  <pageMargins left="0.5" right="0.25" top="0.5" bottom="0.25" header="0.3" footer="0.05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1">
    <pageSetUpPr fitToPage="1"/>
  </sheetPr>
  <dimension ref="A1:CE90"/>
  <sheetViews>
    <sheetView showGridLines="0" view="pageBreakPreview" zoomScale="110" zoomScaleNormal="100" zoomScaleSheetLayoutView="110" workbookViewId="0">
      <selection activeCell="J35" sqref="J35"/>
    </sheetView>
  </sheetViews>
  <sheetFormatPr defaultColWidth="8.85546875" defaultRowHeight="12.75"/>
  <cols>
    <col min="1" max="1" width="1.42578125" style="5" customWidth="1"/>
    <col min="2" max="2" width="5.85546875" style="5" customWidth="1"/>
    <col min="3" max="3" width="7.7109375" style="4" customWidth="1"/>
    <col min="4" max="4" width="6.85546875" style="4" customWidth="1"/>
    <col min="5" max="5" width="7.28515625" style="4" customWidth="1"/>
    <col min="6" max="6" width="3.42578125" style="4" customWidth="1"/>
    <col min="7" max="9" width="5.85546875" style="4" customWidth="1"/>
    <col min="10" max="10" width="22.28515625" style="4" customWidth="1"/>
    <col min="11" max="11" width="18.42578125" style="5" customWidth="1"/>
    <col min="12" max="12" width="2.5703125" style="5" customWidth="1"/>
    <col min="13" max="13" width="1.42578125" style="5" customWidth="1"/>
    <col min="14" max="14" width="3.85546875" style="5" customWidth="1"/>
    <col min="15" max="15" width="10.140625" style="4" customWidth="1"/>
    <col min="16" max="16" width="6.140625" style="4" customWidth="1"/>
    <col min="17" max="17" width="7.7109375" style="4" customWidth="1"/>
    <col min="18" max="18" width="6.5703125" style="5" bestFit="1" customWidth="1"/>
    <col min="19" max="19" width="1.85546875" style="5" customWidth="1"/>
    <col min="20" max="20" width="7.140625" style="5" customWidth="1"/>
    <col min="21" max="38" width="6.5703125" style="5" hidden="1" customWidth="1"/>
    <col min="39" max="39" width="6.42578125" style="5" bestFit="1" customWidth="1"/>
    <col min="40" max="40" width="1.85546875" style="5" customWidth="1"/>
    <col min="41" max="41" width="7.5703125" style="5" customWidth="1"/>
    <col min="42" max="59" width="6.5703125" style="5" hidden="1" customWidth="1"/>
    <col min="60" max="60" width="7.5703125" style="5" customWidth="1"/>
    <col min="61" max="61" width="1.140625" style="5" customWidth="1"/>
    <col min="62" max="62" width="4.85546875" style="5" customWidth="1"/>
    <col min="63" max="63" width="5" style="5" customWidth="1"/>
    <col min="64" max="64" width="8.85546875" style="6" customWidth="1"/>
    <col min="65" max="16384" width="8.85546875" style="5"/>
  </cols>
  <sheetData>
    <row r="1" spans="1:83" ht="15.75">
      <c r="A1" s="3"/>
      <c r="B1" s="3" t="str">
        <f>INDEX(Équivalences!$C$2:$D$397,MATCH("Appendix A: Derivation of Forward Par Curve ",Équivalences!$C$2:$C$397,0), langue)</f>
        <v>Annexe A : Calcul de courbe de taux au pair et à terme - Normes de pratique 2014, note éducative révisée 2015</v>
      </c>
      <c r="O1" s="5"/>
      <c r="P1" s="5"/>
      <c r="Q1" s="5"/>
    </row>
    <row r="2" spans="1:83">
      <c r="O2" s="5"/>
      <c r="P2" s="5"/>
      <c r="Q2" s="5"/>
    </row>
    <row r="3" spans="1:83" ht="11.25" customHeight="1">
      <c r="A3" s="7"/>
      <c r="B3" s="8"/>
      <c r="C3" s="9"/>
      <c r="D3" s="9"/>
      <c r="E3" s="9"/>
      <c r="F3" s="9"/>
      <c r="G3" s="9"/>
      <c r="H3" s="9"/>
      <c r="I3" s="9"/>
      <c r="J3" s="9"/>
      <c r="K3" s="10"/>
      <c r="M3" s="7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10"/>
      <c r="BJ3" s="6"/>
      <c r="BK3" s="6"/>
    </row>
    <row r="4" spans="1:83" ht="14.25" customHeight="1">
      <c r="A4" s="12"/>
      <c r="B4" s="3" t="str">
        <f>INDEX(Équivalences!$C$2:$D$397,MATCH("Par Yields, Spot Rates, Forward Spots, and Forward Par Yields",Équivalences!$C$2:$C$397,0), langue)</f>
        <v>Rendements au pair, taux immédiats, taux immédiats à terme, rendements au pair à terme</v>
      </c>
      <c r="C4" s="13"/>
      <c r="D4" s="13"/>
      <c r="E4" s="13"/>
      <c r="F4" s="13"/>
      <c r="G4" s="13"/>
      <c r="H4" s="13"/>
      <c r="I4" s="13"/>
      <c r="J4" s="13"/>
      <c r="K4" s="14"/>
      <c r="M4" s="15"/>
      <c r="N4" s="3" t="str">
        <f>INDEX(Équivalences!$C$2:$D$397,MATCH("Illustration: 1- and 20-yr Terms",Équivalences!$C$2:$C$397,0), langue)</f>
        <v>Illustration : termes de 1 an et 20 ans</v>
      </c>
      <c r="O4" s="16"/>
      <c r="P4" s="16"/>
      <c r="Q4" s="17"/>
      <c r="R4" s="17"/>
      <c r="S4" s="17"/>
      <c r="T4" s="18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8"/>
      <c r="AN4" s="16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20" t="str">
        <f>INDEX(Équivalences!$C$2:$D$397,MATCH("all rates annualized",Équivalences!$C$2:$C$397,0), langue)</f>
        <v>Taux annualisés</v>
      </c>
      <c r="BI4" s="14"/>
      <c r="BJ4" s="6"/>
      <c r="BK4" s="6"/>
    </row>
    <row r="5" spans="1:83" ht="14.25" customHeight="1">
      <c r="A5" s="12"/>
      <c r="B5" s="3"/>
      <c r="C5" s="13"/>
      <c r="D5" s="13"/>
      <c r="E5" s="13"/>
      <c r="F5" s="13"/>
      <c r="G5" s="13"/>
      <c r="H5" s="13"/>
      <c r="I5" s="13"/>
      <c r="J5" s="13"/>
      <c r="K5" s="14"/>
      <c r="M5" s="21"/>
      <c r="N5" s="16"/>
      <c r="O5" s="5"/>
      <c r="P5" s="5"/>
      <c r="Q5" s="5"/>
      <c r="S5" s="17"/>
      <c r="BI5" s="14"/>
      <c r="BJ5" s="6"/>
      <c r="BK5" s="6"/>
    </row>
    <row r="6" spans="1:83" ht="14.25" customHeight="1">
      <c r="A6" s="12"/>
      <c r="B6" s="226" t="str">
        <f>INDEX(Équivalences!$C$2:$D$397,MATCH("Define a spot rate zn as the yield on a zero-coupon bond maturing in n periods.",Équivalences!$C$2:$C$397,0), langue)</f>
        <v>Le taux immédiat zn est défini comme le taux d'une obligation sans coupon ayant une échéance dans n périodes.</v>
      </c>
      <c r="C6" s="13"/>
      <c r="D6" s="13"/>
      <c r="E6" s="13"/>
      <c r="F6" s="13"/>
      <c r="G6" s="13"/>
      <c r="H6" s="13"/>
      <c r="I6" s="13"/>
      <c r="J6" s="13"/>
      <c r="K6" s="14"/>
      <c r="M6" s="21"/>
      <c r="N6" s="22"/>
      <c r="O6" s="168" t="str">
        <f>INDEX(Équivalences!$C$2:$D$397,MATCH("Observed Rates by Term",Équivalences!$C$2:$C$397,0), langue)</f>
        <v>Taux observés par terme</v>
      </c>
      <c r="P6" s="16"/>
      <c r="Q6" s="23"/>
      <c r="R6" s="17"/>
      <c r="S6" s="17"/>
      <c r="T6" s="18" t="str">
        <f>INDEX(Équivalences!$C$2:$D$397,MATCH("Implied Forwards by Year",Équivalences!$C$2:$C$397,0), langue)</f>
        <v>Taux à terme implicites par année</v>
      </c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8"/>
      <c r="AN6" s="16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4"/>
      <c r="BJ6" s="6"/>
      <c r="BK6" s="6"/>
    </row>
    <row r="7" spans="1:83" ht="14.25" customHeight="1">
      <c r="A7" s="24"/>
      <c r="B7" s="226" t="str">
        <f>INDEX(Équivalences!$C$2:$D$397,MATCH("Given an observed par yield curve pn, the spot curve zn is derived recursively:",Équivalences!$C$2:$C$397,0), langue)</f>
        <v>À partir d'une courbe observée de rendements au pair pn, la courbe de taux immédiat zn est calculée de façon récursive :</v>
      </c>
      <c r="C7" s="26"/>
      <c r="D7" s="26"/>
      <c r="E7" s="26"/>
      <c r="F7" s="26"/>
      <c r="G7" s="26"/>
      <c r="H7" s="26"/>
      <c r="I7" s="26"/>
      <c r="J7" s="26"/>
      <c r="K7" s="14"/>
      <c r="M7" s="24"/>
      <c r="N7" s="6"/>
      <c r="O7" s="167"/>
      <c r="P7" s="17"/>
      <c r="Q7" s="27"/>
      <c r="R7" s="17"/>
      <c r="S7" s="6"/>
      <c r="T7" s="18" t="str">
        <f>INDEX(Équivalences!$C$2:$D$397,MATCH("Spots",Équivalences!$C$2:$C$397,0), langue)</f>
        <v>Immédiats</v>
      </c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6"/>
      <c r="AO7" s="18" t="str">
        <f>INDEX(Équivalences!$C$2:$D$397,MATCH("Par Yields",Équivalences!$C$2:$C$397,0), langue)</f>
        <v>Rendements au pair</v>
      </c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4"/>
      <c r="BJ7" s="6"/>
      <c r="BK7" s="6"/>
    </row>
    <row r="8" spans="1:83" s="30" customFormat="1" ht="14.25" customHeight="1">
      <c r="A8" s="28"/>
      <c r="B8" s="26"/>
      <c r="C8" s="26"/>
      <c r="D8" s="26"/>
      <c r="E8" s="26"/>
      <c r="F8" s="26"/>
      <c r="G8" s="26"/>
      <c r="H8" s="26"/>
      <c r="I8" s="26"/>
      <c r="J8" s="26"/>
      <c r="K8" s="29"/>
      <c r="M8" s="31"/>
      <c r="N8" s="32" t="str">
        <f>INDEX(Équivalences!$C$2:$D$397,MATCH("Term",Équivalences!$C$2:$C$397,0), langue)</f>
        <v>Terme</v>
      </c>
      <c r="O8" s="33" t="str">
        <f>INDEX(Équivalences!$C$2:$D$397,MATCH("Par",Équivalences!$C$2:$C$397,0), langue)</f>
        <v>Par</v>
      </c>
      <c r="P8" s="230" t="s">
        <v>387</v>
      </c>
      <c r="Q8" s="33" t="str">
        <f>INDEX(Équivalences!$C$2:$D$397,MATCH("Spots",Équivalences!$C$2:$C$397,0), langue)</f>
        <v>Immédiats</v>
      </c>
      <c r="R8" s="33" t="str">
        <f>INDEX(Équivalences!$C$2:$D$397,MATCH("Adj Spot",Équivalences!$C$2:$C$397,0), langue)</f>
        <v>Immédiats</v>
      </c>
      <c r="S8" s="33"/>
      <c r="T8" s="33" t="str">
        <f>INDEX(Équivalences!$C$2:$D$397,MATCH("1-yr",Équivalences!$C$2:$C$397,0), langue)</f>
        <v>1 an</v>
      </c>
      <c r="U8" s="33" t="str">
        <f>INDEX(Équivalences!$C$2:$D$397,MATCH("2-yr",Équivalences!$C$2:$C$397,0), langue)</f>
        <v>2 ans</v>
      </c>
      <c r="V8" s="33" t="str">
        <f>INDEX(Équivalences!$C$2:$D$397,MATCH("3-yr",Équivalences!$C$2:$C$397,0), langue)</f>
        <v>3 ans</v>
      </c>
      <c r="W8" s="33" t="str">
        <f>INDEX(Équivalences!$C$2:$D$397,MATCH("4-yr",Équivalences!$C$2:$C$397,0), langue)</f>
        <v>4 ans</v>
      </c>
      <c r="X8" s="33" t="str">
        <f>INDEX(Équivalences!$C$2:$D$397,MATCH("5-yr",Équivalences!$C$2:$C$397,0), langue)</f>
        <v>5 ans</v>
      </c>
      <c r="Y8" s="33" t="str">
        <f>INDEX(Équivalences!$C$2:$D$397,MATCH("6-yr",Équivalences!$C$2:$C$397,0), langue)</f>
        <v>6 ans</v>
      </c>
      <c r="Z8" s="33" t="str">
        <f>INDEX(Équivalences!$C$2:$D$397,MATCH("7-yr",Équivalences!$C$2:$C$397,0), langue)</f>
        <v>7 ans</v>
      </c>
      <c r="AA8" s="33" t="str">
        <f>INDEX(Équivalences!$C$2:$D$397,MATCH("8-yr",Équivalences!$C$2:$C$397,0), langue)</f>
        <v>8 ans</v>
      </c>
      <c r="AB8" s="33" t="str">
        <f>INDEX(Équivalences!$C$2:$D$397,MATCH("9-yr",Équivalences!$C$2:$C$397,0), langue)</f>
        <v>9 ans</v>
      </c>
      <c r="AC8" s="33" t="str">
        <f>INDEX(Équivalences!$C$2:$D$397,MATCH("10-yr",Équivalences!$C$2:$C$397,0), langue)</f>
        <v>10 ans</v>
      </c>
      <c r="AD8" s="33" t="str">
        <f>INDEX(Équivalences!$C$2:$D$397,MATCH("11-yr",Équivalences!$C$2:$C$397,0), langue)</f>
        <v>11 ans</v>
      </c>
      <c r="AE8" s="33" t="str">
        <f>INDEX(Équivalences!$C$2:$D$397,MATCH("12-yr",Équivalences!$C$2:$C$397,0), langue)</f>
        <v>12 ans</v>
      </c>
      <c r="AF8" s="33" t="str">
        <f>INDEX(Équivalences!$C$2:$D$397,MATCH("13-yr",Équivalences!$C$2:$C$397,0), langue)</f>
        <v>13 ans</v>
      </c>
      <c r="AG8" s="33" t="str">
        <f>INDEX(Équivalences!$C$2:$D$397,MATCH("14-yr",Équivalences!$C$2:$C$397,0), langue)</f>
        <v>14 ans</v>
      </c>
      <c r="AH8" s="33" t="str">
        <f>INDEX(Équivalences!$C$2:$D$397,MATCH("15-yr",Équivalences!$C$2:$C$397,0), langue)</f>
        <v>15 ans</v>
      </c>
      <c r="AI8" s="33" t="str">
        <f>INDEX(Équivalences!$C$2:$D$397,MATCH("16-yr",Équivalences!$C$2:$C$397,0), langue)</f>
        <v>16 ans</v>
      </c>
      <c r="AJ8" s="33" t="str">
        <f>INDEX(Équivalences!$C$2:$D$397,MATCH("17-yr",Équivalences!$C$2:$C$397,0), langue)</f>
        <v>17 ans</v>
      </c>
      <c r="AK8" s="33" t="str">
        <f>INDEX(Équivalences!$C$2:$D$397,MATCH("18-yr",Équivalences!$C$2:$C$397,0), langue)</f>
        <v>18 ans</v>
      </c>
      <c r="AL8" s="33" t="str">
        <f>INDEX(Équivalences!$C$2:$D$397,MATCH("19-yr",Équivalences!$C$2:$C$397,0), langue)</f>
        <v>19 ans</v>
      </c>
      <c r="AM8" s="33" t="str">
        <f>INDEX(Équivalences!$C$2:$D$397,MATCH("20-yr",Équivalences!$C$2:$C$397,0), langue)</f>
        <v>20 ans</v>
      </c>
      <c r="AN8" s="23"/>
      <c r="AO8" s="33" t="str">
        <f>INDEX(Équivalences!$C$2:$D$397,MATCH("1-yr",Équivalences!$C$2:$C$397,0), langue)</f>
        <v>1 an</v>
      </c>
      <c r="AP8" s="33" t="str">
        <f>INDEX(Équivalences!$C$2:$D$397,MATCH("2-yr",Équivalences!$C$2:$C$397,0), langue)</f>
        <v>2 ans</v>
      </c>
      <c r="AQ8" s="33" t="str">
        <f>INDEX(Équivalences!$C$2:$D$397,MATCH("3-yr",Équivalences!$C$2:$C$397,0), langue)</f>
        <v>3 ans</v>
      </c>
      <c r="AR8" s="33" t="str">
        <f>INDEX(Équivalences!$C$2:$D$397,MATCH("4-yr",Équivalences!$C$2:$C$397,0), langue)</f>
        <v>4 ans</v>
      </c>
      <c r="AS8" s="33" t="str">
        <f>INDEX(Équivalences!$C$2:$D$397,MATCH("5-yr",Équivalences!$C$2:$C$397,0), langue)</f>
        <v>5 ans</v>
      </c>
      <c r="AT8" s="33" t="str">
        <f>INDEX(Équivalences!$C$2:$D$397,MATCH("6-yr",Équivalences!$C$2:$C$397,0), langue)</f>
        <v>6 ans</v>
      </c>
      <c r="AU8" s="33" t="str">
        <f>INDEX(Équivalences!$C$2:$D$397,MATCH("7-yr",Équivalences!$C$2:$C$397,0), langue)</f>
        <v>7 ans</v>
      </c>
      <c r="AV8" s="33" t="str">
        <f>INDEX(Équivalences!$C$2:$D$397,MATCH("8-yr",Équivalences!$C$2:$C$397,0), langue)</f>
        <v>8 ans</v>
      </c>
      <c r="AW8" s="33" t="str">
        <f>INDEX(Équivalences!$C$2:$D$397,MATCH("9-yr",Équivalences!$C$2:$C$397,0), langue)</f>
        <v>9 ans</v>
      </c>
      <c r="AX8" s="33" t="str">
        <f>INDEX(Équivalences!$C$2:$D$397,MATCH("10-yr",Équivalences!$C$2:$C$397,0), langue)</f>
        <v>10 ans</v>
      </c>
      <c r="AY8" s="33" t="str">
        <f>INDEX(Équivalences!$C$2:$D$397,MATCH("11-yr",Équivalences!$C$2:$C$397,0), langue)</f>
        <v>11 ans</v>
      </c>
      <c r="AZ8" s="33" t="str">
        <f>INDEX(Équivalences!$C$2:$D$397,MATCH("12-yr",Équivalences!$C$2:$C$397,0), langue)</f>
        <v>12 ans</v>
      </c>
      <c r="BA8" s="33" t="str">
        <f>INDEX(Équivalences!$C$2:$D$397,MATCH("13-yr",Équivalences!$C$2:$C$397,0), langue)</f>
        <v>13 ans</v>
      </c>
      <c r="BB8" s="33" t="str">
        <f>INDEX(Équivalences!$C$2:$D$397,MATCH("14-yr",Équivalences!$C$2:$C$397,0), langue)</f>
        <v>14 ans</v>
      </c>
      <c r="BC8" s="33" t="str">
        <f>INDEX(Équivalences!$C$2:$D$397,MATCH("15-yr",Équivalences!$C$2:$C$397,0), langue)</f>
        <v>15 ans</v>
      </c>
      <c r="BD8" s="33" t="str">
        <f>INDEX(Équivalences!$C$2:$D$397,MATCH("16-yr",Équivalences!$C$2:$C$397,0), langue)</f>
        <v>16 ans</v>
      </c>
      <c r="BE8" s="33" t="str">
        <f>INDEX(Équivalences!$C$2:$D$397,MATCH("17-yr",Équivalences!$C$2:$C$397,0), langue)</f>
        <v>17 ans</v>
      </c>
      <c r="BF8" s="33" t="str">
        <f>INDEX(Équivalences!$C$2:$D$397,MATCH("18-yr",Équivalences!$C$2:$C$397,0), langue)</f>
        <v>18 ans</v>
      </c>
      <c r="BG8" s="33" t="str">
        <f>INDEX(Équivalences!$C$2:$D$397,MATCH("19-yr",Équivalences!$C$2:$C$397,0), langue)</f>
        <v>19 ans</v>
      </c>
      <c r="BH8" s="33" t="str">
        <f>INDEX(Équivalences!$C$2:$D$397,MATCH("20-yr",Équivalences!$C$2:$C$397,0), langue)</f>
        <v>20 ans</v>
      </c>
      <c r="BI8" s="29"/>
      <c r="BJ8" s="26"/>
      <c r="BK8" s="26"/>
      <c r="BL8" s="33" t="str">
        <f>INDEX(Équivalences!$C$2:$D$397,MATCH("1-yr",Équivalences!$C$2:$C$397,0), langue)</f>
        <v>1 an</v>
      </c>
      <c r="BM8" s="33" t="str">
        <f>INDEX(Équivalences!$C$2:$D$397,MATCH("2-yr",Équivalences!$C$2:$C$397,0), langue)</f>
        <v>2 ans</v>
      </c>
      <c r="BN8" s="33" t="str">
        <f>INDEX(Équivalences!$C$2:$D$397,MATCH("3-yr",Équivalences!$C$2:$C$397,0), langue)</f>
        <v>3 ans</v>
      </c>
      <c r="BO8" s="33" t="str">
        <f>INDEX(Équivalences!$C$2:$D$397,MATCH("4-yr",Équivalences!$C$2:$C$397,0), langue)</f>
        <v>4 ans</v>
      </c>
      <c r="BP8" s="33" t="str">
        <f>INDEX(Équivalences!$C$2:$D$397,MATCH("5-yr",Équivalences!$C$2:$C$397,0), langue)</f>
        <v>5 ans</v>
      </c>
      <c r="BQ8" s="33" t="str">
        <f>INDEX(Équivalences!$C$2:$D$397,MATCH("6-yr",Équivalences!$C$2:$C$397,0), langue)</f>
        <v>6 ans</v>
      </c>
      <c r="BR8" s="33" t="str">
        <f>INDEX(Équivalences!$C$2:$D$397,MATCH("7-yr",Équivalences!$C$2:$C$397,0), langue)</f>
        <v>7 ans</v>
      </c>
      <c r="BS8" s="33" t="str">
        <f>INDEX(Équivalences!$C$2:$D$397,MATCH("8-yr",Équivalences!$C$2:$C$397,0), langue)</f>
        <v>8 ans</v>
      </c>
      <c r="BT8" s="33" t="str">
        <f>INDEX(Équivalences!$C$2:$D$397,MATCH("9-yr",Équivalences!$C$2:$C$397,0), langue)</f>
        <v>9 ans</v>
      </c>
      <c r="BU8" s="33" t="str">
        <f>INDEX(Équivalences!$C$2:$D$397,MATCH("10-yr",Équivalences!$C$2:$C$397,0), langue)</f>
        <v>10 ans</v>
      </c>
      <c r="BV8" s="33" t="str">
        <f>INDEX(Équivalences!$C$2:$D$397,MATCH("11-yr",Équivalences!$C$2:$C$397,0), langue)</f>
        <v>11 ans</v>
      </c>
      <c r="BW8" s="33" t="str">
        <f>INDEX(Équivalences!$C$2:$D$397,MATCH("12-yr",Équivalences!$C$2:$C$397,0), langue)</f>
        <v>12 ans</v>
      </c>
      <c r="BX8" s="33" t="str">
        <f>INDEX(Équivalences!$C$2:$D$397,MATCH("13-yr",Équivalences!$C$2:$C$397,0), langue)</f>
        <v>13 ans</v>
      </c>
      <c r="BY8" s="33" t="str">
        <f>INDEX(Équivalences!$C$2:$D$397,MATCH("14-yr",Équivalences!$C$2:$C$397,0), langue)</f>
        <v>14 ans</v>
      </c>
      <c r="BZ8" s="33" t="str">
        <f>INDEX(Équivalences!$C$2:$D$397,MATCH("15-yr",Équivalences!$C$2:$C$397,0), langue)</f>
        <v>15 ans</v>
      </c>
      <c r="CA8" s="33" t="str">
        <f>INDEX(Équivalences!$C$2:$D$397,MATCH("16-yr",Équivalences!$C$2:$C$397,0), langue)</f>
        <v>16 ans</v>
      </c>
      <c r="CB8" s="33" t="str">
        <f>INDEX(Équivalences!$C$2:$D$397,MATCH("17-yr",Équivalences!$C$2:$C$397,0), langue)</f>
        <v>17 ans</v>
      </c>
      <c r="CC8" s="33" t="str">
        <f>INDEX(Équivalences!$C$2:$D$397,MATCH("18-yr",Équivalences!$C$2:$C$397,0), langue)</f>
        <v>18 ans</v>
      </c>
      <c r="CD8" s="33" t="str">
        <f>INDEX(Équivalences!$C$2:$D$397,MATCH("19-yr",Équivalences!$C$2:$C$397,0), langue)</f>
        <v>19 ans</v>
      </c>
      <c r="CE8" s="33" t="str">
        <f>INDEX(Équivalences!$C$2:$D$397,MATCH("20-yr",Équivalences!$C$2:$C$397,0), langue)</f>
        <v>20 ans</v>
      </c>
    </row>
    <row r="9" spans="1:83" ht="14.25" customHeight="1">
      <c r="A9" s="28"/>
      <c r="B9" s="34" t="str">
        <f>INDEX(Équivalences!$C$2:$D$397,MATCH("Formula 1:",Équivalences!$C$2:$C$397,0), langue)</f>
        <v>Formule 1 :</v>
      </c>
      <c r="C9" s="6"/>
      <c r="D9" s="6"/>
      <c r="E9" s="6"/>
      <c r="F9" s="6"/>
      <c r="G9" s="6"/>
      <c r="H9" s="6"/>
      <c r="I9" s="6"/>
      <c r="J9" s="6"/>
      <c r="K9" s="14"/>
      <c r="M9" s="24"/>
      <c r="N9" s="23"/>
      <c r="O9" s="22"/>
      <c r="P9" s="22"/>
      <c r="Q9" s="27"/>
      <c r="R9" s="27"/>
      <c r="S9" s="6"/>
      <c r="T9" s="35">
        <v>1</v>
      </c>
      <c r="U9" s="35">
        <v>2</v>
      </c>
      <c r="V9" s="35">
        <v>3</v>
      </c>
      <c r="W9" s="35">
        <v>4</v>
      </c>
      <c r="X9" s="35">
        <v>5</v>
      </c>
      <c r="Y9" s="35">
        <v>6</v>
      </c>
      <c r="Z9" s="35">
        <v>7</v>
      </c>
      <c r="AA9" s="35">
        <v>8</v>
      </c>
      <c r="AB9" s="35">
        <v>9</v>
      </c>
      <c r="AC9" s="35">
        <v>10</v>
      </c>
      <c r="AD9" s="35">
        <v>11</v>
      </c>
      <c r="AE9" s="35">
        <v>12</v>
      </c>
      <c r="AF9" s="35">
        <v>13</v>
      </c>
      <c r="AG9" s="35">
        <v>14</v>
      </c>
      <c r="AH9" s="35">
        <v>15</v>
      </c>
      <c r="AI9" s="35">
        <v>16</v>
      </c>
      <c r="AJ9" s="35">
        <v>17</v>
      </c>
      <c r="AK9" s="35">
        <v>18</v>
      </c>
      <c r="AL9" s="35">
        <v>19</v>
      </c>
      <c r="AM9" s="35">
        <v>20</v>
      </c>
      <c r="AN9" s="2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14"/>
      <c r="BJ9" s="6"/>
      <c r="BK9" s="6"/>
    </row>
    <row r="10" spans="1:83" ht="14.25" customHeight="1">
      <c r="A10" s="28"/>
      <c r="B10" s="6"/>
      <c r="C10" s="6"/>
      <c r="D10" s="6"/>
      <c r="E10" s="6"/>
      <c r="F10" s="6"/>
      <c r="G10" s="6"/>
      <c r="H10" s="6"/>
      <c r="I10" s="36"/>
      <c r="J10" s="6"/>
      <c r="K10" s="14"/>
      <c r="M10" s="24"/>
      <c r="N10" s="23">
        <v>0</v>
      </c>
      <c r="O10" s="37"/>
      <c r="P10" s="37"/>
      <c r="Q10" s="38"/>
      <c r="R10" s="38"/>
      <c r="S10" s="39"/>
      <c r="T10" s="40">
        <f t="shared" ref="T10:T54" si="0">((1+$R11)^$N11/(1+$R10)^$N10)^(1/($N11-$N10))-1</f>
        <v>1.0000000000000009E-2</v>
      </c>
      <c r="U10" s="40">
        <f>((1+$R12)^$N12/(1+$R10)^$N10)^(1/($N12-$N10))-1</f>
        <v>1.0000000000000009E-2</v>
      </c>
      <c r="V10" s="40">
        <f>((1+$R13)^$N13/(1+$R10)^$N10)^(1/($N13-$N10))-1</f>
        <v>1.101105514008216E-2</v>
      </c>
      <c r="W10" s="40">
        <f>((1+$R14)^$N14/(1+$R10)^$N10)^(1/($N14-$N10))-1</f>
        <v>1.2027256889948434E-2</v>
      </c>
      <c r="X10" s="40">
        <f>((1+$R15)^$N15/(1+$R10)^$N10)^(1/($N15-$N10))-1</f>
        <v>1.3050137554767804E-2</v>
      </c>
      <c r="Y10" s="40">
        <f>((1+$R16)^$N16/(1+$R10)^$N10)^(1/($N16-$N10))-1</f>
        <v>1.4081020408995393E-2</v>
      </c>
      <c r="Z10" s="40">
        <f>((1+$R17)^$N17/(1+$R10)^$N10)^(1/($N17-$N10))-1</f>
        <v>1.5121221380182348E-2</v>
      </c>
      <c r="AA10" s="40">
        <f>((1+$R18)^$N18/(1+$R10)^$N10)^(1/($N18-$N10))-1</f>
        <v>1.6172109551774172E-2</v>
      </c>
      <c r="AB10" s="40">
        <f>((1+$R19)^$N19/(1+$R10)^$N10)^(1/($N19-$N10))-1</f>
        <v>1.7235137703349501E-2</v>
      </c>
      <c r="AC10" s="40">
        <f>((1+$R20)^$N20/(1+$R10)^$N10)^(1/($N20-$N10))-1</f>
        <v>1.8311865464575972E-2</v>
      </c>
      <c r="AD10" s="40">
        <f>((1+$R21)^$N21/(1+$R10)^$N10)^(1/($N21-$N10))-1</f>
        <v>1.8842172548831471E-2</v>
      </c>
      <c r="AE10" s="40">
        <f>((1+$R22)^$N22/(1+$R10)^$N10)^(1/($N22-$N10))-1</f>
        <v>1.9380127932881352E-2</v>
      </c>
      <c r="AF10" s="40">
        <f>((1+$R23)^$N23/(1+$R10)^$N10)^(1/($N23-$N10))-1</f>
        <v>1.9925825891381255E-2</v>
      </c>
      <c r="AG10" s="40">
        <f>((1+$R24)^$N24/(1+$R10)^$N10)^(1/($N24-$N10))-1</f>
        <v>2.0479504312485464E-2</v>
      </c>
      <c r="AH10" s="40">
        <f>((1+$R25)^$N25/(1+$R10)^$N10)^(1/($N25-$N10))-1</f>
        <v>2.1041512132083051E-2</v>
      </c>
      <c r="AI10" s="40">
        <f>((1+$R26)^$N26/(1+$R10)^$N10)^(1/($N26-$N10))-1</f>
        <v>2.1612291010203899E-2</v>
      </c>
      <c r="AJ10" s="40">
        <f>((1+$R27)^$N27/(1+$R10)^$N10)^(1/($N27-$N10))-1</f>
        <v>2.219236569534222E-2</v>
      </c>
      <c r="AK10" s="40">
        <f>((1+$R28)^$N28/(1+$R10)^$N10)^(1/($N28-$N10))-1</f>
        <v>2.2782340049919636E-2</v>
      </c>
      <c r="AL10" s="40">
        <f>((1+$R29)^$N29/(1+$R10)^$N10)^(1/($N29-$N10))-1</f>
        <v>2.3382897053291885E-2</v>
      </c>
      <c r="AM10" s="40">
        <f t="shared" ref="AM10:AM25" si="1">((1+$R30)^$N30/(1+$R10)^$N10)^(1/($N30-$N10))-1</f>
        <v>2.3994801853138181E-2</v>
      </c>
      <c r="AN10" s="41">
        <v>2</v>
      </c>
      <c r="AO10" s="1">
        <f>(1-BL10)/SUM($BL10:BL10)</f>
        <v>1.0000000000000009E-2</v>
      </c>
      <c r="AP10" s="1">
        <f>(1-BM10)/SUM($BL10:BM10)</f>
        <v>1.000000000000003E-2</v>
      </c>
      <c r="AQ10" s="1">
        <f>(1-BN10)/SUM($BL10:BN10)</f>
        <v>1.0999999999999928E-2</v>
      </c>
      <c r="AR10" s="1">
        <f>(1-BO10)/SUM($BL10:BO10)</f>
        <v>1.1999999999999922E-2</v>
      </c>
      <c r="AS10" s="1">
        <f>(1-BP10)/SUM($BL10:BP10)</f>
        <v>1.2999999999999904E-2</v>
      </c>
      <c r="AT10" s="1">
        <f>(1-BQ10)/SUM($BL10:BQ10)</f>
        <v>1.3999999999999948E-2</v>
      </c>
      <c r="AU10" s="1">
        <f>(1-BR10)/SUM($BL10:BR10)</f>
        <v>1.499999999999994E-2</v>
      </c>
      <c r="AV10" s="1">
        <f>(1-BS10)/SUM($BL10:BS10)</f>
        <v>1.5999999999999945E-2</v>
      </c>
      <c r="AW10" s="1">
        <f>(1-BT10)/SUM($BL10:BT10)</f>
        <v>1.6999999999999942E-2</v>
      </c>
      <c r="AX10" s="1">
        <f>(1-BU10)/SUM($BL10:BU10)</f>
        <v>1.8000000000000033E-2</v>
      </c>
      <c r="AY10" s="1">
        <f>(1-BV10)/SUM($BL10:BV10)</f>
        <v>1.8500000000000006E-2</v>
      </c>
      <c r="AZ10" s="1">
        <f>(1-BW10)/SUM($BL10:BW10)</f>
        <v>1.8999999999999902E-2</v>
      </c>
      <c r="BA10" s="1">
        <f>(1-BX10)/SUM($BL10:BX10)</f>
        <v>1.9499999999999997E-2</v>
      </c>
      <c r="BB10" s="1">
        <f>(1-BY10)/SUM($BL10:BY10)</f>
        <v>2.0000000000000087E-2</v>
      </c>
      <c r="BC10" s="1">
        <f>(1-BZ10)/SUM($BL10:BZ10)</f>
        <v>2.0499999999999942E-2</v>
      </c>
      <c r="BD10" s="1">
        <f>(1-CA10)/SUM($BL10:CA10)</f>
        <v>2.1000000000000039E-2</v>
      </c>
      <c r="BE10" s="1">
        <f>(1-CB10)/SUM($BL10:CB10)</f>
        <v>2.1499999999999974E-2</v>
      </c>
      <c r="BF10" s="1">
        <f>(1-CC10)/SUM($BL10:CC10)</f>
        <v>2.1999999999999895E-2</v>
      </c>
      <c r="BG10" s="1">
        <f>(1-CD10)/SUM($BL10:CD10)</f>
        <v>2.2500000000000069E-2</v>
      </c>
      <c r="BH10" s="1">
        <f>(1-CE10)/SUM($BL10:CE10)</f>
        <v>2.299999999999993E-2</v>
      </c>
      <c r="BI10" s="14"/>
      <c r="BJ10" s="6"/>
      <c r="BK10" s="6"/>
      <c r="BL10" s="6">
        <f>1/(1+T10)^T$9</f>
        <v>0.99009900990099009</v>
      </c>
      <c r="BM10" s="5">
        <f t="shared" ref="BM10:CE23" si="2">1/(1+U10)^U$9</f>
        <v>0.98029604940692083</v>
      </c>
      <c r="BN10" s="5">
        <f t="shared" si="2"/>
        <v>0.96768116157033945</v>
      </c>
      <c r="BO10" s="5">
        <f t="shared" si="2"/>
        <v>0.95330344402120681</v>
      </c>
      <c r="BP10" s="5">
        <f t="shared" si="2"/>
        <v>0.93722809906841809</v>
      </c>
      <c r="BQ10" s="5">
        <f t="shared" si="2"/>
        <v>0.91952612554679491</v>
      </c>
      <c r="BR10" s="5">
        <f t="shared" si="2"/>
        <v>0.90027388340618753</v>
      </c>
      <c r="BS10" s="5">
        <f t="shared" si="2"/>
        <v>0.87955263349730972</v>
      </c>
      <c r="BT10" s="5">
        <f t="shared" si="2"/>
        <v>0.85744805613656994</v>
      </c>
      <c r="BU10" s="5">
        <f t="shared" si="2"/>
        <v>0.83404975213557409</v>
      </c>
      <c r="BV10" s="5">
        <f t="shared" si="2"/>
        <v>0.8143741021386639</v>
      </c>
      <c r="BW10" s="5">
        <f t="shared" si="2"/>
        <v>0.79426612951938225</v>
      </c>
      <c r="BX10" s="5">
        <f t="shared" si="2"/>
        <v>0.77376368837293485</v>
      </c>
      <c r="BY10" s="5">
        <f t="shared" si="2"/>
        <v>0.75290466402507161</v>
      </c>
      <c r="BZ10" s="5">
        <f t="shared" si="2"/>
        <v>0.73172687959402283</v>
      </c>
      <c r="CA10" s="5">
        <f t="shared" si="2"/>
        <v>0.7102680046570532</v>
      </c>
      <c r="CB10" s="5">
        <f t="shared" si="2"/>
        <v>0.68856546629031368</v>
      </c>
      <c r="CC10" s="5">
        <f t="shared" si="2"/>
        <v>0.66665636273549023</v>
      </c>
      <c r="CD10" s="5">
        <f t="shared" si="2"/>
        <v>0.64457737993102782</v>
      </c>
      <c r="CE10" s="5">
        <f t="shared" si="2"/>
        <v>0.62236471112908398</v>
      </c>
    </row>
    <row r="11" spans="1:83" ht="14.25" customHeight="1">
      <c r="A11" s="28"/>
      <c r="B11" s="25"/>
      <c r="C11" s="6"/>
      <c r="D11" s="6"/>
      <c r="E11" s="6"/>
      <c r="F11" s="6"/>
      <c r="G11" s="6"/>
      <c r="H11" s="6"/>
      <c r="I11" s="36"/>
      <c r="J11" s="6"/>
      <c r="K11" s="14"/>
      <c r="M11" s="24"/>
      <c r="N11" s="42">
        <v>1</v>
      </c>
      <c r="O11" s="169">
        <f>'Input - Entrée de données'!D6</f>
        <v>0.01</v>
      </c>
      <c r="P11" s="43">
        <v>0</v>
      </c>
      <c r="Q11" s="40">
        <f t="shared" ref="Q11:Q30" si="3">((1+$O11)/(1-$O11*$P11))^(1/$N11)-1</f>
        <v>1.0000000000000009E-2</v>
      </c>
      <c r="R11" s="44">
        <f>Q11</f>
        <v>1.0000000000000009E-2</v>
      </c>
      <c r="S11" s="39"/>
      <c r="T11" s="45">
        <f t="shared" si="0"/>
        <v>1.0000000000000009E-2</v>
      </c>
      <c r="U11" s="45">
        <f t="shared" ref="U11:U54" si="4">((1+$R13)^$N13/(1+$R11)^$N11)^(1/($N13-$N11))-1</f>
        <v>1.1516962188592439E-2</v>
      </c>
      <c r="V11" s="45">
        <f t="shared" ref="V11:V54" si="5">((1+$R14)^$N14/(1+$R11)^$N11)^(1/($N14-$N11))-1</f>
        <v>1.2703913023540236E-2</v>
      </c>
      <c r="W11" s="45">
        <f t="shared" ref="W11:W54" si="6">((1+$R15)^$N15/(1+$R11)^$N11)^(1/($N15-$N11))-1</f>
        <v>1.3814110112471356E-2</v>
      </c>
      <c r="X11" s="45">
        <f t="shared" ref="X11:X54" si="7">((1+$R16)^$N16/(1+$R11)^$N11)^(1/($N16-$N11))-1</f>
        <v>1.4899201142047458E-2</v>
      </c>
      <c r="Y11" s="45">
        <f t="shared" ref="Y11:Y54" si="8">((1+$R17)^$N17/(1+$R11)^$N11)^(1/($N17-$N11))-1</f>
        <v>1.5977279321685023E-2</v>
      </c>
      <c r="Z11" s="45">
        <f t="shared" ref="Z11:Z54" si="9">((1+$R18)^$N18/(1+$R11)^$N11)^(1/($N18-$N11))-1</f>
        <v>1.705691312771962E-2</v>
      </c>
      <c r="AA11" s="45">
        <f t="shared" ref="AA11:AA54" si="10">((1+$R19)^$N19/(1+$R11)^$N11)^(1/($N19-$N11))-1</f>
        <v>1.8143166549179801E-2</v>
      </c>
      <c r="AB11" s="45">
        <f t="shared" ref="AB11:AB54" si="11">((1+$R20)^$N20/(1+$R11)^$N11)^(1/($N20-$N11))-1</f>
        <v>1.9239618227825828E-2</v>
      </c>
      <c r="AC11" s="45">
        <f t="shared" ref="AC11:AC54" si="12">((1+$R21)^$N21/(1+$R11)^$N11)^(1/($N21-$N11))-1</f>
        <v>1.9730636213405983E-2</v>
      </c>
      <c r="AD11" s="45">
        <f t="shared" ref="AD11:AD54" si="13">((1+$R22)^$N22/(1+$R11)^$N11)^(1/($N22-$N11))-1</f>
        <v>2.0237174516195333E-2</v>
      </c>
      <c r="AE11" s="45">
        <f t="shared" ref="AE11:AE33" si="14">((1+$R23)^$N23/(1+$R11)^$N11)^(1/($N23-$N11))-1</f>
        <v>2.0757368031937284E-2</v>
      </c>
      <c r="AF11" s="45">
        <f t="shared" ref="AF11:AF32" si="15">((1+$R24)^$N24/(1+$R11)^$N11)^(1/($N24-$N11))-1</f>
        <v>2.1290109442455796E-2</v>
      </c>
      <c r="AG11" s="45">
        <f t="shared" ref="AG11:AG31" si="16">((1+$R25)^$N25/(1+$R11)^$N11)^(1/($N25-$N11))-1</f>
        <v>2.1834794947718672E-2</v>
      </c>
      <c r="AH11" s="45">
        <f t="shared" ref="AH11:AH30" si="17">((1+$R26)^$N26/(1+$R11)^$N11)^(1/($N26-$N11))-1</f>
        <v>2.2391173887439608E-2</v>
      </c>
      <c r="AI11" s="45">
        <f t="shared" ref="AI11:AI29" si="18">((1+$R27)^$N27/(1+$R11)^$N11)^(1/($N27-$N11))-1</f>
        <v>2.2959257124108845E-2</v>
      </c>
      <c r="AJ11" s="45">
        <f t="shared" ref="AJ11:AJ28" si="19">((1+$R28)^$N28/(1+$R11)^$N11)^(1/($N28-$N11))-1</f>
        <v>2.3539260361322478E-2</v>
      </c>
      <c r="AK11" s="45">
        <f t="shared" ref="AK11:AK27" si="20">((1+$R29)^$N29/(1+$R11)^$N11)^(1/($N29-$N11))-1</f>
        <v>2.4131569234629557E-2</v>
      </c>
      <c r="AL11" s="45">
        <f t="shared" ref="AL11:AL26" si="21">((1+$R30)^$N30/(1+$R11)^$N11)^(1/($N30-$N11))-1</f>
        <v>2.473671864033089E-2</v>
      </c>
      <c r="AM11" s="45">
        <f t="shared" si="1"/>
        <v>2.5207556370295148E-2</v>
      </c>
      <c r="AN11" s="39"/>
      <c r="AO11" s="46">
        <f>(1-BL11)/SUM($BL11:BL11)</f>
        <v>1.0000000000000009E-2</v>
      </c>
      <c r="AP11" s="46">
        <f>(1-BM11)/SUM($BL11:BM11)</f>
        <v>1.1508270324889604E-2</v>
      </c>
      <c r="AQ11" s="46">
        <f>(1-BN11)/SUM($BL11:BN11)</f>
        <v>1.2682525496590703E-2</v>
      </c>
      <c r="AR11" s="46">
        <f>(1-BO11)/SUM($BL11:BO11)</f>
        <v>1.3773815359039022E-2</v>
      </c>
      <c r="AS11" s="46">
        <f>(1-BP11)/SUM($BL11:BP11)</f>
        <v>1.4832359606393886E-2</v>
      </c>
      <c r="AT11" s="46">
        <f>(1-BQ11)/SUM($BL11:BQ11)</f>
        <v>1.5874907195213381E-2</v>
      </c>
      <c r="AU11" s="46">
        <f>(1-BR11)/SUM($BL11:BR11)</f>
        <v>1.6908644845632485E-2</v>
      </c>
      <c r="AV11" s="46">
        <f>(1-BS11)/SUM($BL11:BS11)</f>
        <v>1.79371741796173E-2</v>
      </c>
      <c r="AW11" s="46">
        <f>(1-BT11)/SUM($BL11:BT11)</f>
        <v>1.8962504112665188E-2</v>
      </c>
      <c r="AX11" s="46">
        <f>(1-BU11)/SUM($BL11:BU11)</f>
        <v>1.9430571623304208E-2</v>
      </c>
      <c r="AY11" s="46">
        <f>(1-BV11)/SUM($BL11:BV11)</f>
        <v>1.9905762512660335E-2</v>
      </c>
      <c r="AZ11" s="46">
        <f>(1-BW11)/SUM($BL11:BW11)</f>
        <v>2.03863692567787E-2</v>
      </c>
      <c r="BA11" s="46">
        <f>(1-BX11)/SUM($BL11:BX11)</f>
        <v>2.0871208053149449E-2</v>
      </c>
      <c r="BB11" s="46">
        <f>(1-BY11)/SUM($BL11:BY11)</f>
        <v>2.1359432904506963E-2</v>
      </c>
      <c r="BC11" s="46">
        <f>(1-BZ11)/SUM($BL11:BZ11)</f>
        <v>2.1850423672967554E-2</v>
      </c>
      <c r="BD11" s="46">
        <f>(1-CA11)/SUM($BL11:CA11)</f>
        <v>2.2343715904337348E-2</v>
      </c>
      <c r="BE11" s="46">
        <f>(1-CB11)/SUM($BL11:CB11)</f>
        <v>2.2838955304079117E-2</v>
      </c>
      <c r="BF11" s="46">
        <f>(1-CC11)/SUM($BL11:CC11)</f>
        <v>2.3335867320792122E-2</v>
      </c>
      <c r="BG11" s="46">
        <f>(1-CD11)/SUM($BL11:CD11)</f>
        <v>2.3834236294702937E-2</v>
      </c>
      <c r="BH11" s="46">
        <f>(1-CE11)/SUM($BL11:CE11)</f>
        <v>2.4223166185196154E-2</v>
      </c>
      <c r="BI11" s="14"/>
      <c r="BJ11" s="47"/>
      <c r="BK11" s="47"/>
      <c r="BL11" s="6">
        <f t="shared" ref="BL11:BL30" si="22">1/(1+T11)^T$9</f>
        <v>0.99009900990099009</v>
      </c>
      <c r="BM11" s="5">
        <f t="shared" si="2"/>
        <v>0.97735797318604267</v>
      </c>
      <c r="BN11" s="5">
        <f t="shared" si="2"/>
        <v>0.96283647846141873</v>
      </c>
      <c r="BO11" s="5">
        <f t="shared" si="2"/>
        <v>0.94660038005910208</v>
      </c>
      <c r="BP11" s="5">
        <f t="shared" si="2"/>
        <v>0.9287213868022629</v>
      </c>
      <c r="BQ11" s="5">
        <f t="shared" si="2"/>
        <v>0.90927662224024897</v>
      </c>
      <c r="BR11" s="5">
        <f t="shared" si="2"/>
        <v>0.88834815983228343</v>
      </c>
      <c r="BS11" s="5">
        <f t="shared" si="2"/>
        <v>0.86602253669793527</v>
      </c>
      <c r="BT11" s="5">
        <f t="shared" si="2"/>
        <v>0.84239024965692921</v>
      </c>
      <c r="BU11" s="5">
        <f t="shared" si="2"/>
        <v>0.82251784316005072</v>
      </c>
      <c r="BV11" s="5">
        <f t="shared" si="2"/>
        <v>0.80220879081457641</v>
      </c>
      <c r="BW11" s="5">
        <f t="shared" si="2"/>
        <v>0.78150132525666494</v>
      </c>
      <c r="BX11" s="5">
        <f t="shared" si="2"/>
        <v>0.76043371066532306</v>
      </c>
      <c r="BY11" s="5">
        <f t="shared" si="2"/>
        <v>0.73904414838996324</v>
      </c>
      <c r="BZ11" s="5">
        <f t="shared" si="2"/>
        <v>0.71737068470362397</v>
      </c>
      <c r="CA11" s="5">
        <f t="shared" si="2"/>
        <v>0.69545112095321626</v>
      </c>
      <c r="CB11" s="5">
        <f t="shared" si="2"/>
        <v>0.67332292636284408</v>
      </c>
      <c r="CC11" s="5">
        <f t="shared" si="2"/>
        <v>0.65102315373033892</v>
      </c>
      <c r="CD11" s="5">
        <f t="shared" si="2"/>
        <v>0.62858835824037584</v>
      </c>
      <c r="CE11" s="5">
        <f t="shared" si="2"/>
        <v>0.60780466566025149</v>
      </c>
    </row>
    <row r="12" spans="1:83" ht="14.25" customHeight="1">
      <c r="A12" s="28"/>
      <c r="B12" s="25"/>
      <c r="C12" s="6"/>
      <c r="D12" s="6"/>
      <c r="E12" s="6"/>
      <c r="F12" s="6"/>
      <c r="G12" s="6"/>
      <c r="H12" s="6"/>
      <c r="I12" s="36"/>
      <c r="J12" s="6"/>
      <c r="K12" s="14"/>
      <c r="M12" s="24"/>
      <c r="N12" s="42">
        <f>N11+1</f>
        <v>2</v>
      </c>
      <c r="O12" s="169">
        <f>'Input - Entrée de données'!D7</f>
        <v>0.01</v>
      </c>
      <c r="P12" s="43">
        <f t="shared" ref="P12:P55" si="23">P11+1/(1+Q11)^N11</f>
        <v>0.99009900990099009</v>
      </c>
      <c r="Q12" s="40">
        <f t="shared" si="3"/>
        <v>1.0000000000000009E-2</v>
      </c>
      <c r="R12" s="44">
        <f t="shared" ref="R12:R30" si="24">Q12</f>
        <v>1.0000000000000009E-2</v>
      </c>
      <c r="S12" s="48"/>
      <c r="T12" s="45">
        <f t="shared" si="0"/>
        <v>1.3036202767562566E-2</v>
      </c>
      <c r="U12" s="45">
        <f t="shared" si="4"/>
        <v>1.4058582859597601E-2</v>
      </c>
      <c r="V12" s="45">
        <f t="shared" si="5"/>
        <v>1.5088678224127738E-2</v>
      </c>
      <c r="W12" s="45">
        <f t="shared" si="6"/>
        <v>1.6127710141457419E-2</v>
      </c>
      <c r="X12" s="45">
        <f t="shared" si="7"/>
        <v>1.7176973399900319E-2</v>
      </c>
      <c r="Y12" s="45">
        <f t="shared" si="8"/>
        <v>1.8237849773035997E-2</v>
      </c>
      <c r="Z12" s="45">
        <f t="shared" si="9"/>
        <v>1.9311823316448207E-2</v>
      </c>
      <c r="AA12" s="45">
        <f t="shared" si="10"/>
        <v>2.0400497900903591E-2</v>
      </c>
      <c r="AB12" s="45">
        <f t="shared" si="11"/>
        <v>2.0817588471739867E-2</v>
      </c>
      <c r="AC12" s="45">
        <f t="shared" si="12"/>
        <v>2.1266581614244551E-2</v>
      </c>
      <c r="AD12" s="45">
        <f t="shared" si="13"/>
        <v>2.174097375158901E-2</v>
      </c>
      <c r="AE12" s="45">
        <f t="shared" si="14"/>
        <v>2.2236629273858943E-2</v>
      </c>
      <c r="AF12" s="45">
        <f t="shared" si="15"/>
        <v>2.2750887156724353E-2</v>
      </c>
      <c r="AG12" s="45">
        <f t="shared" si="16"/>
        <v>2.3282052905726713E-2</v>
      </c>
      <c r="AH12" s="45">
        <f t="shared" si="17"/>
        <v>2.3829096305620467E-2</v>
      </c>
      <c r="AI12" s="45">
        <f t="shared" si="18"/>
        <v>2.4391465306260018E-2</v>
      </c>
      <c r="AJ12" s="45">
        <f t="shared" si="19"/>
        <v>2.4968968661695179E-2</v>
      </c>
      <c r="AK12" s="45">
        <f t="shared" si="20"/>
        <v>2.5561701093859357E-2</v>
      </c>
      <c r="AL12" s="45">
        <f t="shared" si="21"/>
        <v>2.6014267068989572E-2</v>
      </c>
      <c r="AM12" s="45">
        <f t="shared" si="1"/>
        <v>2.6469942066901009E-2</v>
      </c>
      <c r="AN12" s="39"/>
      <c r="AO12" s="46">
        <f>(1-BL12)/SUM($BL12:BL12)</f>
        <v>1.3036202767562528E-2</v>
      </c>
      <c r="AP12" s="46">
        <f>(1-BM12)/SUM($BL12:BM12)</f>
        <v>1.4051442841938726E-2</v>
      </c>
      <c r="AQ12" s="46">
        <f>(1-BN12)/SUM($BL12:BN12)</f>
        <v>1.5068140404066491E-2</v>
      </c>
      <c r="AR12" s="46">
        <f>(1-BO12)/SUM($BL12:BO12)</f>
        <v>1.6086322160285497E-2</v>
      </c>
      <c r="AS12" s="46">
        <f>(1-BP12)/SUM($BL12:BP12)</f>
        <v>1.7106017212794235E-2</v>
      </c>
      <c r="AT12" s="46">
        <f>(1-BQ12)/SUM($BL12:BQ12)</f>
        <v>1.8127257102247975E-2</v>
      </c>
      <c r="AU12" s="46">
        <f>(1-BR12)/SUM($BL12:BR12)</f>
        <v>1.9150075853025247E-2</v>
      </c>
      <c r="AV12" s="46">
        <f>(1-BS12)/SUM($BL12:BS12)</f>
        <v>2.0174510021030614E-2</v>
      </c>
      <c r="AW12" s="46">
        <f>(1-BT12)/SUM($BL12:BT12)</f>
        <v>2.0577074263645502E-2</v>
      </c>
      <c r="AX12" s="46">
        <f>(1-BU12)/SUM($BL12:BU12)</f>
        <v>2.100204892384596E-2</v>
      </c>
      <c r="AY12" s="46">
        <f>(1-BV12)/SUM($BL12:BV12)</f>
        <v>2.144349966800068E-2</v>
      </c>
      <c r="AZ12" s="46">
        <f>(1-BW12)/SUM($BL12:BW12)</f>
        <v>2.1897461983015034E-2</v>
      </c>
      <c r="BA12" s="46">
        <f>(1-BX12)/SUM($BL12:BX12)</f>
        <v>2.2361187889005405E-2</v>
      </c>
      <c r="BB12" s="46">
        <f>(1-BY12)/SUM($BL12:BY12)</f>
        <v>2.2832713828520246E-2</v>
      </c>
      <c r="BC12" s="46">
        <f>(1-BZ12)/SUM($BL12:BZ12)</f>
        <v>2.3310600570512308E-2</v>
      </c>
      <c r="BD12" s="46">
        <f>(1-CA12)/SUM($BL12:CA12)</f>
        <v>2.3793770211876331E-2</v>
      </c>
      <c r="BE12" s="46">
        <f>(1-CB12)/SUM($BL12:CB12)</f>
        <v>2.4281400464848595E-2</v>
      </c>
      <c r="BF12" s="46">
        <f>(1-CC12)/SUM($BL12:CC12)</f>
        <v>2.4772854041689114E-2</v>
      </c>
      <c r="BG12" s="46">
        <f>(1-CD12)/SUM($BL12:CD12)</f>
        <v>2.5149586094163585E-2</v>
      </c>
      <c r="BH12" s="46">
        <f>(1-CE12)/SUM($BL12:CE12)</f>
        <v>2.5522109519223284E-2</v>
      </c>
      <c r="BI12" s="14"/>
      <c r="BJ12" s="47"/>
      <c r="BK12" s="47"/>
      <c r="BL12" s="6">
        <f t="shared" si="22"/>
        <v>0.98713155291790333</v>
      </c>
      <c r="BM12" s="5">
        <f t="shared" si="2"/>
        <v>0.97246484324603333</v>
      </c>
      <c r="BN12" s="5">
        <f t="shared" si="2"/>
        <v>0.95606638385969311</v>
      </c>
      <c r="BO12" s="5">
        <f t="shared" si="2"/>
        <v>0.93800860067028546</v>
      </c>
      <c r="BP12" s="5">
        <f t="shared" si="2"/>
        <v>0.91836938846265193</v>
      </c>
      <c r="BQ12" s="5">
        <f t="shared" si="2"/>
        <v>0.89723164143060519</v>
      </c>
      <c r="BR12" s="5">
        <f t="shared" si="2"/>
        <v>0.87468276206491558</v>
      </c>
      <c r="BS12" s="5">
        <f t="shared" si="2"/>
        <v>0.85081415215349987</v>
      </c>
      <c r="BT12" s="5">
        <f t="shared" si="2"/>
        <v>0.83074302159165103</v>
      </c>
      <c r="BU12" s="5">
        <f t="shared" si="2"/>
        <v>0.81023087872272093</v>
      </c>
      <c r="BV12" s="5">
        <f t="shared" si="2"/>
        <v>0.78931633850923055</v>
      </c>
      <c r="BW12" s="5">
        <f t="shared" si="2"/>
        <v>0.7680380477719756</v>
      </c>
      <c r="BX12" s="5">
        <f t="shared" si="2"/>
        <v>0.74643458987386202</v>
      </c>
      <c r="BY12" s="5">
        <f t="shared" si="2"/>
        <v>0.72454439155066142</v>
      </c>
      <c r="BZ12" s="5">
        <f t="shared" si="2"/>
        <v>0.7024056321627492</v>
      </c>
      <c r="CA12" s="5">
        <f t="shared" si="2"/>
        <v>0.68005615562647304</v>
      </c>
      <c r="CB12" s="5">
        <f t="shared" si="2"/>
        <v>0.65753338526764138</v>
      </c>
      <c r="CC12" s="5">
        <f t="shared" si="2"/>
        <v>0.63487424182277929</v>
      </c>
      <c r="CD12" s="5">
        <f t="shared" si="2"/>
        <v>0.61388271231685465</v>
      </c>
      <c r="CE12" s="5">
        <f t="shared" si="2"/>
        <v>0.59302809596453376</v>
      </c>
    </row>
    <row r="13" spans="1:83" ht="14.25" customHeight="1">
      <c r="A13" s="24"/>
      <c r="B13" s="6"/>
      <c r="C13" s="13"/>
      <c r="D13" s="13"/>
      <c r="E13" s="13"/>
      <c r="F13" s="13"/>
      <c r="G13" s="13"/>
      <c r="H13" s="13"/>
      <c r="I13" s="13"/>
      <c r="J13" s="13"/>
      <c r="K13" s="14"/>
      <c r="M13" s="24"/>
      <c r="N13" s="42">
        <f t="shared" ref="N13:N45" si="25">N12+1</f>
        <v>3</v>
      </c>
      <c r="O13" s="169">
        <f>'Input - Entrée de données'!D8</f>
        <v>1.0999999999999999E-2</v>
      </c>
      <c r="P13" s="43">
        <f t="shared" si="23"/>
        <v>1.9703950593079109</v>
      </c>
      <c r="Q13" s="40">
        <f t="shared" si="3"/>
        <v>1.101105514008216E-2</v>
      </c>
      <c r="R13" s="44">
        <f t="shared" si="24"/>
        <v>1.101105514008216E-2</v>
      </c>
      <c r="S13" s="48"/>
      <c r="T13" s="45">
        <f t="shared" si="0"/>
        <v>1.5081994761798834E-2</v>
      </c>
      <c r="U13" s="45">
        <f t="shared" si="4"/>
        <v>1.6116474843167472E-2</v>
      </c>
      <c r="V13" s="45">
        <f t="shared" si="5"/>
        <v>1.7160307719150891E-2</v>
      </c>
      <c r="W13" s="45">
        <f t="shared" si="6"/>
        <v>1.8214807944643585E-2</v>
      </c>
      <c r="X13" s="45">
        <f t="shared" si="7"/>
        <v>1.9281379869471982E-2</v>
      </c>
      <c r="Y13" s="45">
        <f t="shared" si="8"/>
        <v>2.0361533259366515E-2</v>
      </c>
      <c r="Z13" s="45">
        <f t="shared" si="9"/>
        <v>2.145690121640631E-2</v>
      </c>
      <c r="AA13" s="45">
        <f t="shared" si="10"/>
        <v>2.1794454936014285E-2</v>
      </c>
      <c r="AB13" s="45">
        <f t="shared" si="11"/>
        <v>2.218518587415641E-2</v>
      </c>
      <c r="AC13" s="45">
        <f t="shared" si="12"/>
        <v>2.2615554175784869E-2</v>
      </c>
      <c r="AD13" s="45">
        <f t="shared" si="13"/>
        <v>2.3077163729259498E-2</v>
      </c>
      <c r="AE13" s="45">
        <f t="shared" si="14"/>
        <v>2.3564637090984775E-2</v>
      </c>
      <c r="AF13" s="45">
        <f t="shared" si="15"/>
        <v>2.4074474155109105E-2</v>
      </c>
      <c r="AG13" s="45">
        <f t="shared" si="16"/>
        <v>2.460440287064114E-2</v>
      </c>
      <c r="AH13" s="45">
        <f t="shared" si="17"/>
        <v>2.5152992718951772E-2</v>
      </c>
      <c r="AI13" s="45">
        <f t="shared" si="18"/>
        <v>2.5719416431417841E-2</v>
      </c>
      <c r="AJ13" s="45">
        <f t="shared" si="19"/>
        <v>2.6303299432727911E-2</v>
      </c>
      <c r="AK13" s="45">
        <f t="shared" si="20"/>
        <v>2.6740126088573124E-2</v>
      </c>
      <c r="AL13" s="45">
        <f t="shared" si="21"/>
        <v>2.7181895155291791E-2</v>
      </c>
      <c r="AM13" s="45">
        <f t="shared" si="1"/>
        <v>2.7627864993668982E-2</v>
      </c>
      <c r="AN13" s="39"/>
      <c r="AO13" s="46">
        <f>(1-BL13)/SUM($BL13:BL13)</f>
        <v>1.5081994761798887E-2</v>
      </c>
      <c r="AP13" s="46">
        <f>(1-BM13)/SUM($BL13:BM13)</f>
        <v>1.610820121633794E-2</v>
      </c>
      <c r="AQ13" s="46">
        <f>(1-BN13)/SUM($BL13:BN13)</f>
        <v>1.7136671806067261E-2</v>
      </c>
      <c r="AR13" s="46">
        <f>(1-BO13)/SUM($BL13:BO13)</f>
        <v>1.8167454099093448E-2</v>
      </c>
      <c r="AS13" s="46">
        <f>(1-BP13)/SUM($BL13:BP13)</f>
        <v>1.9200599516360977E-2</v>
      </c>
      <c r="AT13" s="46">
        <f>(1-BQ13)/SUM($BL13:BQ13)</f>
        <v>2.0236163417828069E-2</v>
      </c>
      <c r="AU13" s="46">
        <f>(1-BR13)/SUM($BL13:BR13)</f>
        <v>2.1274205193444543E-2</v>
      </c>
      <c r="AV13" s="46">
        <f>(1-BS13)/SUM($BL13:BS13)</f>
        <v>2.1605457876315903E-2</v>
      </c>
      <c r="AW13" s="46">
        <f>(1-BT13)/SUM($BL13:BT13)</f>
        <v>2.1979029601608524E-2</v>
      </c>
      <c r="AX13" s="46">
        <f>(1-BU13)/SUM($BL13:BU13)</f>
        <v>2.2382532893335073E-2</v>
      </c>
      <c r="AY13" s="46">
        <f>(1-BV13)/SUM($BL13:BV13)</f>
        <v>2.2808065717913106E-2</v>
      </c>
      <c r="AZ13" s="46">
        <f>(1-BW13)/SUM($BL13:BW13)</f>
        <v>2.325035237911104E-2</v>
      </c>
      <c r="BA13" s="46">
        <f>(1-BX13)/SUM($BL13:BX13)</f>
        <v>2.3705738398195522E-2</v>
      </c>
      <c r="BB13" s="46">
        <f>(1-BY13)/SUM($BL13:BY13)</f>
        <v>2.4171614266502425E-2</v>
      </c>
      <c r="BC13" s="46">
        <f>(1-BZ13)/SUM($BL13:BZ13)</f>
        <v>2.4646068752551435E-2</v>
      </c>
      <c r="BD13" s="46">
        <f>(1-CA13)/SUM($BL13:CA13)</f>
        <v>2.5127671720611304E-2</v>
      </c>
      <c r="BE13" s="46">
        <f>(1-CB13)/SUM($BL13:CB13)</f>
        <v>2.5615333325886541E-2</v>
      </c>
      <c r="BF13" s="46">
        <f>(1-CC13)/SUM($BL13:CC13)</f>
        <v>2.5981951050433161E-2</v>
      </c>
      <c r="BG13" s="46">
        <f>(1-CD13)/SUM($BL13:CD13)</f>
        <v>2.6346058906928375E-2</v>
      </c>
      <c r="BH13" s="46">
        <f>(1-CE13)/SUM($BL13:CE13)</f>
        <v>2.670691401474827E-2</v>
      </c>
      <c r="BI13" s="14"/>
      <c r="BJ13" s="47"/>
      <c r="BK13" s="47"/>
      <c r="BL13" s="6">
        <f t="shared" si="22"/>
        <v>0.98514209212691428</v>
      </c>
      <c r="BM13" s="5">
        <f t="shared" si="2"/>
        <v>0.96852985909893841</v>
      </c>
      <c r="BN13" s="5">
        <f t="shared" si="2"/>
        <v>0.95023667098634068</v>
      </c>
      <c r="BO13" s="5">
        <f t="shared" si="2"/>
        <v>0.9303414380261732</v>
      </c>
      <c r="BP13" s="5">
        <f t="shared" si="2"/>
        <v>0.90892813503776715</v>
      </c>
      <c r="BQ13" s="5">
        <f t="shared" si="2"/>
        <v>0.88608530390848539</v>
      </c>
      <c r="BR13" s="5">
        <f t="shared" si="2"/>
        <v>0.86190553795848379</v>
      </c>
      <c r="BS13" s="5">
        <f t="shared" si="2"/>
        <v>0.84157275606885784</v>
      </c>
      <c r="BT13" s="5">
        <f t="shared" si="2"/>
        <v>0.82079321274629224</v>
      </c>
      <c r="BU13" s="5">
        <f t="shared" si="2"/>
        <v>0.79960602634578692</v>
      </c>
      <c r="BV13" s="5">
        <f t="shared" si="2"/>
        <v>0.77805034749593271</v>
      </c>
      <c r="BW13" s="5">
        <f t="shared" si="2"/>
        <v>0.75616526254018068</v>
      </c>
      <c r="BX13" s="5">
        <f t="shared" si="2"/>
        <v>0.7339896991530146</v>
      </c>
      <c r="BY13" s="5">
        <f t="shared" si="2"/>
        <v>0.71156233440869987</v>
      </c>
      <c r="BZ13" s="5">
        <f t="shared" si="2"/>
        <v>0.6889215055645499</v>
      </c>
      <c r="CA13" s="5">
        <f t="shared" si="2"/>
        <v>0.6661051238044331</v>
      </c>
      <c r="CB13" s="5">
        <f t="shared" si="2"/>
        <v>0.64315059117108297</v>
      </c>
      <c r="CC13" s="5">
        <f t="shared" si="2"/>
        <v>0.62188541183011736</v>
      </c>
      <c r="CD13" s="5">
        <f t="shared" si="2"/>
        <v>0.60075893047038986</v>
      </c>
      <c r="CE13" s="5">
        <f t="shared" si="2"/>
        <v>0.5798058057127915</v>
      </c>
    </row>
    <row r="14" spans="1:83" ht="14.25" customHeight="1">
      <c r="A14" s="49"/>
      <c r="B14" s="6" t="str">
        <f>INDEX(Équivalences!$C$2:$D$397,MATCH("Define a forward spot F(n,m) as the zn on a zero purchased m periods from now. ",Équivalences!$C$2:$C$397,0), langue)</f>
        <v xml:space="preserve">Le taux immédiat à terme F(n,m) est défini comme le zn d'une obligation sans coupon achetée m périodes à partir de maintenant. </v>
      </c>
      <c r="C14" s="6"/>
      <c r="D14" s="6"/>
      <c r="E14" s="6"/>
      <c r="F14" s="6"/>
      <c r="G14" s="6"/>
      <c r="H14" s="6"/>
      <c r="I14" s="6"/>
      <c r="J14" s="6"/>
      <c r="K14" s="14"/>
      <c r="M14" s="24"/>
      <c r="N14" s="42">
        <f t="shared" si="25"/>
        <v>4</v>
      </c>
      <c r="O14" s="169">
        <f>'Input - Entrée de données'!D9</f>
        <v>1.2E-2</v>
      </c>
      <c r="P14" s="43">
        <f t="shared" si="23"/>
        <v>2.9380762208782505</v>
      </c>
      <c r="Q14" s="40">
        <f t="shared" si="3"/>
        <v>1.2027256889948434E-2</v>
      </c>
      <c r="R14" s="44">
        <f t="shared" si="24"/>
        <v>1.2027256889948434E-2</v>
      </c>
      <c r="S14" s="48"/>
      <c r="T14" s="45">
        <f t="shared" si="0"/>
        <v>1.7152009173398763E-2</v>
      </c>
      <c r="U14" s="45">
        <f t="shared" si="4"/>
        <v>1.8201059356626414E-2</v>
      </c>
      <c r="V14" s="45">
        <f t="shared" si="5"/>
        <v>1.9261226132834652E-2</v>
      </c>
      <c r="W14" s="45">
        <f t="shared" si="6"/>
        <v>2.0333937846885863E-2</v>
      </c>
      <c r="X14" s="45">
        <f t="shared" si="7"/>
        <v>2.1420731525475967E-2</v>
      </c>
      <c r="Y14" s="45">
        <f t="shared" si="8"/>
        <v>2.2523271206282169E-2</v>
      </c>
      <c r="Z14" s="45">
        <f t="shared" si="9"/>
        <v>2.2756994475977788E-2</v>
      </c>
      <c r="AA14" s="45">
        <f t="shared" si="10"/>
        <v>2.307657258287632E-2</v>
      </c>
      <c r="AB14" s="45">
        <f t="shared" si="11"/>
        <v>2.3456060082537089E-2</v>
      </c>
      <c r="AC14" s="45">
        <f t="shared" si="12"/>
        <v>2.3880135985789197E-2</v>
      </c>
      <c r="AD14" s="45">
        <f t="shared" si="13"/>
        <v>2.4339292541936342E-2</v>
      </c>
      <c r="AE14" s="45">
        <f t="shared" si="14"/>
        <v>2.4827433653894504E-2</v>
      </c>
      <c r="AF14" s="45">
        <f t="shared" si="15"/>
        <v>2.5340585187737741E-2</v>
      </c>
      <c r="AG14" s="45">
        <f t="shared" si="16"/>
        <v>2.5876161424732036E-2</v>
      </c>
      <c r="AH14" s="45">
        <f t="shared" si="17"/>
        <v>2.6432528521224352E-2</v>
      </c>
      <c r="AI14" s="45">
        <f t="shared" si="18"/>
        <v>2.7008735563513353E-2</v>
      </c>
      <c r="AJ14" s="45">
        <f t="shared" si="19"/>
        <v>2.7430053246499719E-2</v>
      </c>
      <c r="AK14" s="45">
        <f t="shared" si="20"/>
        <v>2.7858325098012227E-2</v>
      </c>
      <c r="AL14" s="45">
        <f t="shared" si="21"/>
        <v>2.8292452586452743E-2</v>
      </c>
      <c r="AM14" s="45">
        <f t="shared" si="1"/>
        <v>2.8731556978230932E-2</v>
      </c>
      <c r="AN14" s="39"/>
      <c r="AO14" s="46">
        <f>(1-BL14)/SUM($BL14:BL14)</f>
        <v>1.7152009173398708E-2</v>
      </c>
      <c r="AP14" s="46">
        <f>(1-BM14)/SUM($BL14:BM14)</f>
        <v>1.8191593710476985E-2</v>
      </c>
      <c r="AQ14" s="46">
        <f>(1-BN14)/SUM($BL14:BN14)</f>
        <v>1.9234319904368483E-2</v>
      </c>
      <c r="AR14" s="46">
        <f>(1-BO14)/SUM($BL14:BO14)</f>
        <v>2.0280262082974509E-2</v>
      </c>
      <c r="AS14" s="46">
        <f>(1-BP14)/SUM($BL14:BP14)</f>
        <v>2.1329500143534658E-2</v>
      </c>
      <c r="AT14" s="46">
        <f>(1-BQ14)/SUM($BL14:BQ14)</f>
        <v>2.2382119702479723E-2</v>
      </c>
      <c r="AU14" s="46">
        <f>(1-BR14)/SUM($BL14:BR14)</f>
        <v>2.2617893821110971E-2</v>
      </c>
      <c r="AV14" s="46">
        <f>(1-BS14)/SUM($BL14:BS14)</f>
        <v>2.2926879337698311E-2</v>
      </c>
      <c r="AW14" s="46">
        <f>(1-BT14)/SUM($BL14:BT14)</f>
        <v>2.3285151915068244E-2</v>
      </c>
      <c r="AX14" s="46">
        <f>(1-BU14)/SUM($BL14:BU14)</f>
        <v>2.3678318955149456E-2</v>
      </c>
      <c r="AY14" s="46">
        <f>(1-BV14)/SUM($BL14:BV14)</f>
        <v>2.4097206853911333E-2</v>
      </c>
      <c r="AZ14" s="46">
        <f>(1-BW14)/SUM($BL14:BW14)</f>
        <v>2.4535695737943976E-2</v>
      </c>
      <c r="BA14" s="46">
        <f>(1-BX14)/SUM($BL14:BX14)</f>
        <v>2.4989549751971471E-2</v>
      </c>
      <c r="BB14" s="46">
        <f>(1-BY14)/SUM($BL14:BY14)</f>
        <v>2.5455746883319436E-2</v>
      </c>
      <c r="BC14" s="46">
        <f>(1-BZ14)/SUM($BL14:BZ14)</f>
        <v>2.5932075976180104E-2</v>
      </c>
      <c r="BD14" s="46">
        <f>(1-CA14)/SUM($BL14:CA14)</f>
        <v>2.6416884402189474E-2</v>
      </c>
      <c r="BE14" s="46">
        <f>(1-CB14)/SUM($BL14:CB14)</f>
        <v>2.677338242616855E-2</v>
      </c>
      <c r="BF14" s="46">
        <f>(1-CC14)/SUM($BL14:CC14)</f>
        <v>2.7129249412782382E-2</v>
      </c>
      <c r="BG14" s="46">
        <f>(1-CD14)/SUM($BL14:CD14)</f>
        <v>2.748341871828916E-2</v>
      </c>
      <c r="BH14" s="46">
        <f>(1-CE14)/SUM($BL14:CE14)</f>
        <v>2.783501027124784E-2</v>
      </c>
      <c r="BI14" s="14"/>
      <c r="BJ14" s="47"/>
      <c r="BK14" s="47"/>
      <c r="BL14" s="6">
        <f t="shared" si="22"/>
        <v>0.98313722136051473</v>
      </c>
      <c r="BM14" s="5">
        <f t="shared" si="2"/>
        <v>0.96456813548062637</v>
      </c>
      <c r="BN14" s="5">
        <f t="shared" si="2"/>
        <v>0.9443728427211685</v>
      </c>
      <c r="BO14" s="5">
        <f t="shared" si="2"/>
        <v>0.92263658440925911</v>
      </c>
      <c r="BP14" s="5">
        <f t="shared" si="2"/>
        <v>0.89944923782053932</v>
      </c>
      <c r="BQ14" s="5">
        <f t="shared" si="2"/>
        <v>0.87490479276713851</v>
      </c>
      <c r="BR14" s="5">
        <f t="shared" si="2"/>
        <v>0.85426535196756015</v>
      </c>
      <c r="BS14" s="5">
        <f t="shared" si="2"/>
        <v>0.83317241168145129</v>
      </c>
      <c r="BT14" s="5">
        <f t="shared" si="2"/>
        <v>0.81166568024663721</v>
      </c>
      <c r="BU14" s="5">
        <f t="shared" si="2"/>
        <v>0.78978489876128344</v>
      </c>
      <c r="BV14" s="5">
        <f t="shared" si="2"/>
        <v>0.76756974306886516</v>
      </c>
      <c r="BW14" s="5">
        <f t="shared" si="2"/>
        <v>0.74505972795085484</v>
      </c>
      <c r="BX14" s="5">
        <f t="shared" si="2"/>
        <v>0.72229411380894482</v>
      </c>
      <c r="BY14" s="5">
        <f t="shared" si="2"/>
        <v>0.69931181610276505</v>
      </c>
      <c r="BZ14" s="5">
        <f t="shared" si="2"/>
        <v>0.67615131779245874</v>
      </c>
      <c r="CA14" s="5">
        <f t="shared" si="2"/>
        <v>0.65285058501817361</v>
      </c>
      <c r="CB14" s="5">
        <f t="shared" si="2"/>
        <v>0.63126468435377892</v>
      </c>
      <c r="CC14" s="5">
        <f t="shared" si="2"/>
        <v>0.60981957351284799</v>
      </c>
      <c r="CD14" s="5">
        <f t="shared" si="2"/>
        <v>0.58855043383741257</v>
      </c>
      <c r="CE14" s="5">
        <f t="shared" si="2"/>
        <v>0.56749070710543159</v>
      </c>
    </row>
    <row r="15" spans="1:83" ht="14.25" customHeight="1">
      <c r="A15" s="49"/>
      <c r="B15" s="22" t="str">
        <f>INDEX(Équivalences!$C$2:$D$397,MATCH("Given a spot curve zn, the implied Forward spots F(n,m) are derived via the relation:",Équivalences!$C$2:$C$397,0), langue)</f>
        <v>À partir d'une courbe de taux immédiat zn, les taux immédiats à terme implicites F(n,m) sont calculés au moyen de la relation :</v>
      </c>
      <c r="C15" s="6"/>
      <c r="D15" s="6"/>
      <c r="E15" s="6"/>
      <c r="F15" s="6"/>
      <c r="G15" s="6"/>
      <c r="H15" s="6"/>
      <c r="I15" s="6"/>
      <c r="J15" s="6"/>
      <c r="K15" s="14"/>
      <c r="M15" s="24"/>
      <c r="N15" s="42">
        <f t="shared" si="25"/>
        <v>5</v>
      </c>
      <c r="O15" s="169">
        <f>'Input - Entrée de données'!D10</f>
        <v>1.2999999999999999E-2</v>
      </c>
      <c r="P15" s="43">
        <f t="shared" si="23"/>
        <v>3.8913796648994574</v>
      </c>
      <c r="Q15" s="40">
        <f t="shared" si="3"/>
        <v>1.3050137554767804E-2</v>
      </c>
      <c r="R15" s="44">
        <f t="shared" si="24"/>
        <v>1.3050137554767804E-2</v>
      </c>
      <c r="S15" s="48"/>
      <c r="T15" s="45">
        <f t="shared" si="0"/>
        <v>1.9251191488547148E-2</v>
      </c>
      <c r="U15" s="45">
        <f t="shared" si="4"/>
        <v>2.0317474212556474E-2</v>
      </c>
      <c r="V15" s="45">
        <f t="shared" si="5"/>
        <v>2.1396791189008058E-2</v>
      </c>
      <c r="W15" s="45">
        <f t="shared" si="6"/>
        <v>2.2490708356574185E-2</v>
      </c>
      <c r="X15" s="45">
        <f t="shared" si="7"/>
        <v>2.3600922506053612E-2</v>
      </c>
      <c r="Y15" s="45">
        <f t="shared" si="8"/>
        <v>2.3694156923707244E-2</v>
      </c>
      <c r="Z15" s="45">
        <f t="shared" si="9"/>
        <v>2.392575113414841E-2</v>
      </c>
      <c r="AA15" s="45">
        <f t="shared" si="10"/>
        <v>2.4246808668139552E-2</v>
      </c>
      <c r="AB15" s="45">
        <f t="shared" si="11"/>
        <v>2.4630447446337245E-2</v>
      </c>
      <c r="AC15" s="45">
        <f t="shared" si="12"/>
        <v>2.5060808205278562E-2</v>
      </c>
      <c r="AD15" s="45">
        <f t="shared" si="13"/>
        <v>2.5528064974571496E-2</v>
      </c>
      <c r="AE15" s="45">
        <f t="shared" si="14"/>
        <v>2.602593488013949E-2</v>
      </c>
      <c r="AF15" s="45">
        <f t="shared" si="15"/>
        <v>2.655034127297351E-2</v>
      </c>
      <c r="AG15" s="45">
        <f t="shared" si="16"/>
        <v>2.7098653790770477E-2</v>
      </c>
      <c r="AH15" s="45">
        <f t="shared" si="17"/>
        <v>2.7669236616210124E-2</v>
      </c>
      <c r="AI15" s="45">
        <f t="shared" si="18"/>
        <v>2.8075868536559412E-2</v>
      </c>
      <c r="AJ15" s="45">
        <f t="shared" si="19"/>
        <v>2.8491606306439321E-2</v>
      </c>
      <c r="AK15" s="45">
        <f t="shared" si="20"/>
        <v>2.8914931487448836E-2</v>
      </c>
      <c r="AL15" s="45">
        <f t="shared" si="21"/>
        <v>2.9344645465462005E-2</v>
      </c>
      <c r="AM15" s="45">
        <f t="shared" si="1"/>
        <v>2.9779789458208583E-2</v>
      </c>
      <c r="AN15" s="39"/>
      <c r="AO15" s="46">
        <f>(1-BL15)/SUM($BL15:BL15)</f>
        <v>1.9251191488547186E-2</v>
      </c>
      <c r="AP15" s="46">
        <f>(1-BM15)/SUM($BL15:BM15)</f>
        <v>2.0306745510728971E-2</v>
      </c>
      <c r="AQ15" s="46">
        <f>(1-BN15)/SUM($BL15:BN15)</f>
        <v>2.1366406398370397E-2</v>
      </c>
      <c r="AR15" s="46">
        <f>(1-BO15)/SUM($BL15:BO15)</f>
        <v>2.2430282068811199E-2</v>
      </c>
      <c r="AS15" s="46">
        <f>(1-BP15)/SUM($BL15:BP15)</f>
        <v>2.3498488069860862E-2</v>
      </c>
      <c r="AT15" s="46">
        <f>(1-BQ15)/SUM($BL15:BQ15)</f>
        <v>2.360205514327459E-2</v>
      </c>
      <c r="AU15" s="46">
        <f>(1-BR15)/SUM($BL15:BR15)</f>
        <v>2.3829017681266031E-2</v>
      </c>
      <c r="AV15" s="46">
        <f>(1-BS15)/SUM($BL15:BS15)</f>
        <v>2.4133806549672038E-2</v>
      </c>
      <c r="AW15" s="46">
        <f>(1-BT15)/SUM($BL15:BT15)</f>
        <v>2.4491036422640812E-2</v>
      </c>
      <c r="AX15" s="46">
        <f>(1-BU15)/SUM($BL15:BU15)</f>
        <v>2.4885451507234872E-2</v>
      </c>
      <c r="AY15" s="46">
        <f>(1-BV15)/SUM($BL15:BV15)</f>
        <v>2.5307337101984653E-2</v>
      </c>
      <c r="AZ15" s="46">
        <f>(1-BW15)/SUM($BL15:BW15)</f>
        <v>2.5750218356362261E-2</v>
      </c>
      <c r="BA15" s="46">
        <f>(1-BX15)/SUM($BL15:BX15)</f>
        <v>2.6209618145876076E-2</v>
      </c>
      <c r="BB15" s="46">
        <f>(1-BY15)/SUM($BL15:BY15)</f>
        <v>2.6682345896487165E-2</v>
      </c>
      <c r="BC15" s="46">
        <f>(1-BZ15)/SUM($BL15:BZ15)</f>
        <v>2.7166070189785597E-2</v>
      </c>
      <c r="BD15" s="46">
        <f>(1-CA15)/SUM($BL15:CA15)</f>
        <v>2.7512993972554578E-2</v>
      </c>
      <c r="BE15" s="46">
        <f>(1-CB15)/SUM($BL15:CB15)</f>
        <v>2.7861310959236781E-2</v>
      </c>
      <c r="BF15" s="46">
        <f>(1-CC15)/SUM($BL15:CC15)</f>
        <v>2.8209570918565373E-2</v>
      </c>
      <c r="BG15" s="46">
        <f>(1-CD15)/SUM($BL15:CD15)</f>
        <v>2.8556599019122116E-2</v>
      </c>
      <c r="BH15" s="46">
        <f>(1-CE15)/SUM($BL15:CE15)</f>
        <v>2.8901429461784041E-2</v>
      </c>
      <c r="BI15" s="14"/>
      <c r="BJ15" s="47"/>
      <c r="BK15" s="47"/>
      <c r="BL15" s="6">
        <f t="shared" si="22"/>
        <v>0.98111241698875806</v>
      </c>
      <c r="BM15" s="5">
        <f t="shared" si="2"/>
        <v>0.96057073438263096</v>
      </c>
      <c r="BN15" s="5">
        <f t="shared" si="2"/>
        <v>0.93846165556876071</v>
      </c>
      <c r="BO15" s="5">
        <f t="shared" si="2"/>
        <v>0.9148765993986443</v>
      </c>
      <c r="BP15" s="5">
        <f t="shared" si="2"/>
        <v>0.88991116779853152</v>
      </c>
      <c r="BQ15" s="5">
        <f t="shared" si="2"/>
        <v>0.86891771912102467</v>
      </c>
      <c r="BR15" s="5">
        <f t="shared" si="2"/>
        <v>0.84746299252963497</v>
      </c>
      <c r="BS15" s="5">
        <f t="shared" si="2"/>
        <v>0.82558737743996025</v>
      </c>
      <c r="BT15" s="5">
        <f t="shared" si="2"/>
        <v>0.80333129658984814</v>
      </c>
      <c r="BU15" s="5">
        <f t="shared" si="2"/>
        <v>0.78073510634320697</v>
      </c>
      <c r="BV15" s="5">
        <f t="shared" si="2"/>
        <v>0.75783899923939679</v>
      </c>
      <c r="BW15" s="5">
        <f t="shared" si="2"/>
        <v>0.73468290907489031</v>
      </c>
      <c r="BX15" s="5">
        <f t="shared" si="2"/>
        <v>0.71130641878762424</v>
      </c>
      <c r="BY15" s="5">
        <f t="shared" si="2"/>
        <v>0.68774867139783902</v>
      </c>
      <c r="BZ15" s="5">
        <f t="shared" si="2"/>
        <v>0.66404828424126239</v>
      </c>
      <c r="CA15" s="5">
        <f t="shared" si="2"/>
        <v>0.64209214201065556</v>
      </c>
      <c r="CB15" s="5">
        <f t="shared" si="2"/>
        <v>0.62027920443185736</v>
      </c>
      <c r="CC15" s="5">
        <f t="shared" si="2"/>
        <v>0.59864525627760012</v>
      </c>
      <c r="CD15" s="5">
        <f t="shared" si="2"/>
        <v>0.57722431291952347</v>
      </c>
      <c r="CE15" s="5">
        <f t="shared" si="2"/>
        <v>0.55604855754807314</v>
      </c>
    </row>
    <row r="16" spans="1:83" ht="14.25" customHeight="1">
      <c r="A16" s="49"/>
      <c r="B16" s="22"/>
      <c r="C16" s="6"/>
      <c r="D16" s="6"/>
      <c r="E16" s="6"/>
      <c r="F16" s="6"/>
      <c r="G16" s="6"/>
      <c r="H16" s="6"/>
      <c r="I16" s="6"/>
      <c r="J16" s="6"/>
      <c r="K16" s="14"/>
      <c r="M16" s="24"/>
      <c r="N16" s="42">
        <f t="shared" si="25"/>
        <v>6</v>
      </c>
      <c r="O16" s="50">
        <f>(O15*($N17-$N16)+O17*($N16-$N15))/($N17-$N15)</f>
        <v>1.3999999999999999E-2</v>
      </c>
      <c r="P16" s="51">
        <f t="shared" si="23"/>
        <v>4.8286077639678755</v>
      </c>
      <c r="Q16" s="52">
        <f t="shared" si="3"/>
        <v>1.4081020408995393E-2</v>
      </c>
      <c r="R16" s="44">
        <f t="shared" si="24"/>
        <v>1.4081020408995393E-2</v>
      </c>
      <c r="S16" s="6"/>
      <c r="T16" s="53">
        <f t="shared" si="0"/>
        <v>2.1384872421008616E-2</v>
      </c>
      <c r="U16" s="53">
        <f t="shared" si="4"/>
        <v>2.2471284188177565E-2</v>
      </c>
      <c r="V16" s="53">
        <f t="shared" si="5"/>
        <v>2.3572833755203026E-2</v>
      </c>
      <c r="W16" s="53">
        <f t="shared" si="6"/>
        <v>2.4691252609833736E-2</v>
      </c>
      <c r="X16" s="53">
        <f t="shared" si="7"/>
        <v>2.4585071366765243E-2</v>
      </c>
      <c r="Y16" s="53">
        <f t="shared" si="8"/>
        <v>2.4706926085015457E-2</v>
      </c>
      <c r="Z16" s="53">
        <f t="shared" si="9"/>
        <v>2.4962464234129733E-2</v>
      </c>
      <c r="AA16" s="53">
        <f t="shared" si="10"/>
        <v>2.5304847537673147E-2</v>
      </c>
      <c r="AB16" s="53">
        <f t="shared" si="11"/>
        <v>2.5708361814815506E-2</v>
      </c>
      <c r="AC16" s="53">
        <f t="shared" si="12"/>
        <v>2.6157874431044226E-2</v>
      </c>
      <c r="AD16" s="53">
        <f t="shared" si="13"/>
        <v>2.6644049065301934E-2</v>
      </c>
      <c r="AE16" s="53">
        <f t="shared" si="14"/>
        <v>2.7160958078256803E-2</v>
      </c>
      <c r="AF16" s="53">
        <f t="shared" si="15"/>
        <v>2.7704801413867441E-2</v>
      </c>
      <c r="AG16" s="53">
        <f t="shared" si="16"/>
        <v>2.8273179176972141E-2</v>
      </c>
      <c r="AH16" s="53">
        <f t="shared" si="17"/>
        <v>2.8666889641477233E-2</v>
      </c>
      <c r="AI16" s="53">
        <f t="shared" si="18"/>
        <v>2.9071905896985273E-2</v>
      </c>
      <c r="AJ16" s="53">
        <f t="shared" si="19"/>
        <v>2.9486231675620811E-2</v>
      </c>
      <c r="AK16" s="53">
        <f t="shared" si="20"/>
        <v>2.9908314553529491E-2</v>
      </c>
      <c r="AL16" s="53">
        <f t="shared" si="21"/>
        <v>3.0336929092734888E-2</v>
      </c>
      <c r="AM16" s="53">
        <f t="shared" si="1"/>
        <v>3.0771095056711051E-2</v>
      </c>
      <c r="AN16" s="6"/>
      <c r="AO16" s="54">
        <f>(1-BL16)/SUM($BL16:BL16)</f>
        <v>2.1384872421008592E-2</v>
      </c>
      <c r="AP16" s="54">
        <f>(1-BM16)/SUM($BL16:BM16)</f>
        <v>2.2459206933847869E-2</v>
      </c>
      <c r="AQ16" s="54">
        <f>(1-BN16)/SUM($BL16:BN16)</f>
        <v>2.3538720634107377E-2</v>
      </c>
      <c r="AR16" s="54">
        <f>(1-BO16)/SUM($BL16:BO16)</f>
        <v>2.4623563056700479E-2</v>
      </c>
      <c r="AS16" s="54">
        <f>(1-BP16)/SUM($BL16:BP16)</f>
        <v>2.4535562917343729E-2</v>
      </c>
      <c r="AT16" s="54">
        <f>(1-BQ16)/SUM($BL16:BQ16)</f>
        <v>2.4657651569420829E-2</v>
      </c>
      <c r="AU16" s="54">
        <f>(1-BR16)/SUM($BL16:BR16)</f>
        <v>2.4900786484787538E-2</v>
      </c>
      <c r="AV16" s="54">
        <f>(1-BS16)/SUM($BL16:BS16)</f>
        <v>2.5220329903436454E-2</v>
      </c>
      <c r="AW16" s="54">
        <f>(1-BT16)/SUM($BL16:BT16)</f>
        <v>2.5591447047709319E-2</v>
      </c>
      <c r="AX16" s="54">
        <f>(1-BU16)/SUM($BL16:BU16)</f>
        <v>2.5999229466069189E-2</v>
      </c>
      <c r="AY16" s="54">
        <f>(1-BV16)/SUM($BL16:BV16)</f>
        <v>2.6434193726702564E-2</v>
      </c>
      <c r="AZ16" s="54">
        <f>(1-BW16)/SUM($BL16:BW16)</f>
        <v>2.6890026208633708E-2</v>
      </c>
      <c r="BA16" s="54">
        <f>(1-BX16)/SUM($BL16:BX16)</f>
        <v>2.7362366821096884E-2</v>
      </c>
      <c r="BB16" s="54">
        <f>(1-BY16)/SUM($BL16:BY16)</f>
        <v>2.7848113091725645E-2</v>
      </c>
      <c r="BC16" s="54">
        <f>(1-BZ16)/SUM($BL16:BZ16)</f>
        <v>2.8186925249286766E-2</v>
      </c>
      <c r="BD16" s="54">
        <f>(1-CA16)/SUM($BL16:CA16)</f>
        <v>2.852921058412446E-2</v>
      </c>
      <c r="BE16" s="54">
        <f>(1-CB16)/SUM($BL16:CB16)</f>
        <v>2.8873080494241418E-2</v>
      </c>
      <c r="BF16" s="54">
        <f>(1-CC16)/SUM($BL16:CC16)</f>
        <v>2.9217032702214298E-2</v>
      </c>
      <c r="BG16" s="54">
        <f>(1-CD16)/SUM($BL16:CD16)</f>
        <v>2.9559852280378152E-2</v>
      </c>
      <c r="BH16" s="54">
        <f>(1-CE16)/SUM($BL16:CE16)</f>
        <v>2.9900542321086309E-2</v>
      </c>
      <c r="BI16" s="14"/>
      <c r="BJ16" s="47"/>
      <c r="BK16" s="47"/>
      <c r="BL16" s="6">
        <f t="shared" si="22"/>
        <v>0.97906286552852539</v>
      </c>
      <c r="BM16" s="5">
        <f t="shared" si="2"/>
        <v>0.9565281606047733</v>
      </c>
      <c r="BN16" s="5">
        <f t="shared" si="2"/>
        <v>0.93248906400205833</v>
      </c>
      <c r="BO16" s="5">
        <f t="shared" si="2"/>
        <v>0.90704301809761823</v>
      </c>
      <c r="BP16" s="5">
        <f t="shared" si="2"/>
        <v>0.88564542051961526</v>
      </c>
      <c r="BQ16" s="5">
        <f t="shared" si="2"/>
        <v>0.86377766487827989</v>
      </c>
      <c r="BR16" s="5">
        <f t="shared" si="2"/>
        <v>0.84148091813358461</v>
      </c>
      <c r="BS16" s="5">
        <f t="shared" si="2"/>
        <v>0.8187963812092427</v>
      </c>
      <c r="BT16" s="5">
        <f t="shared" si="2"/>
        <v>0.79576518737725033</v>
      </c>
      <c r="BU16" s="5">
        <f t="shared" si="2"/>
        <v>0.77242830293124554</v>
      </c>
      <c r="BV16" s="5">
        <f t="shared" si="2"/>
        <v>0.74882643044085218</v>
      </c>
      <c r="BW16" s="5">
        <f t="shared" si="2"/>
        <v>0.72499991486273752</v>
      </c>
      <c r="BX16" s="5">
        <f t="shared" si="2"/>
        <v>0.70098865276691358</v>
      </c>
      <c r="BY16" s="5">
        <f t="shared" si="2"/>
        <v>0.67683200491883466</v>
      </c>
      <c r="BZ16" s="5">
        <f t="shared" si="2"/>
        <v>0.65445318078979431</v>
      </c>
      <c r="CA16" s="5">
        <f t="shared" si="2"/>
        <v>0.63222031817273994</v>
      </c>
      <c r="CB16" s="5">
        <f t="shared" si="2"/>
        <v>0.61016989073990924</v>
      </c>
      <c r="CC16" s="5">
        <f t="shared" si="2"/>
        <v>0.58833656869938245</v>
      </c>
      <c r="CD16" s="5">
        <f t="shared" si="2"/>
        <v>0.56675315480636068</v>
      </c>
      <c r="CE16" s="5">
        <f t="shared" si="2"/>
        <v>0.54545053144438405</v>
      </c>
    </row>
    <row r="17" spans="1:83" ht="14.25" customHeight="1">
      <c r="A17" s="49"/>
      <c r="B17" s="55" t="str">
        <f>INDEX(Équivalences!$C$2:$D$397,MATCH("Formula 2:",Équivalences!$C$2:$C$397,0), langue)</f>
        <v>Formule 2 :</v>
      </c>
      <c r="C17" s="6"/>
      <c r="D17" s="6"/>
      <c r="E17" s="6"/>
      <c r="F17" s="6"/>
      <c r="G17" s="6"/>
      <c r="H17" s="6"/>
      <c r="I17" s="6"/>
      <c r="J17" s="6"/>
      <c r="K17" s="14"/>
      <c r="M17" s="24"/>
      <c r="N17" s="42">
        <f t="shared" si="25"/>
        <v>7</v>
      </c>
      <c r="O17" s="169">
        <f>'Input - Entrée de données'!D11</f>
        <v>1.4999999999999999E-2</v>
      </c>
      <c r="P17" s="51">
        <f t="shared" si="23"/>
        <v>5.7481338895146701</v>
      </c>
      <c r="Q17" s="52">
        <f t="shared" si="3"/>
        <v>1.5121221380182348E-2</v>
      </c>
      <c r="R17" s="44">
        <f t="shared" si="24"/>
        <v>1.5121221380182348E-2</v>
      </c>
      <c r="S17" s="6"/>
      <c r="T17" s="53">
        <f t="shared" si="0"/>
        <v>2.3558851533972858E-2</v>
      </c>
      <c r="U17" s="53">
        <f t="shared" si="4"/>
        <v>2.466857139969858E-2</v>
      </c>
      <c r="V17" s="53">
        <f t="shared" si="5"/>
        <v>2.5795756133408343E-2</v>
      </c>
      <c r="W17" s="53">
        <f t="shared" si="6"/>
        <v>2.5386686573064088E-2</v>
      </c>
      <c r="X17" s="53">
        <f>((1+$R22)^$N22/(1+$R17)^$N17)^(1/($N22-$N17))-1</f>
        <v>2.5372632292175679E-2</v>
      </c>
      <c r="Y17" s="53">
        <f t="shared" si="8"/>
        <v>2.5559946662528477E-2</v>
      </c>
      <c r="Z17" s="53">
        <f t="shared" si="9"/>
        <v>2.5866070759483994E-2</v>
      </c>
      <c r="AA17" s="53">
        <f t="shared" si="10"/>
        <v>2.6250083206033725E-2</v>
      </c>
      <c r="AB17" s="53">
        <f t="shared" si="11"/>
        <v>2.6689582910716325E-2</v>
      </c>
      <c r="AC17" s="53">
        <f t="shared" si="12"/>
        <v>2.7171453825852954E-2</v>
      </c>
      <c r="AD17" s="53">
        <f t="shared" si="13"/>
        <v>2.7687673740166341E-2</v>
      </c>
      <c r="AE17" s="53">
        <f t="shared" si="14"/>
        <v>2.823322400297168E-2</v>
      </c>
      <c r="AF17" s="53">
        <f t="shared" si="15"/>
        <v>2.8804969132655511E-2</v>
      </c>
      <c r="AG17" s="53">
        <f t="shared" si="16"/>
        <v>2.9189015999603551E-2</v>
      </c>
      <c r="AH17" s="53">
        <f t="shared" si="17"/>
        <v>2.9586427002610272E-2</v>
      </c>
      <c r="AI17" s="53">
        <f t="shared" si="18"/>
        <v>2.9994694923129561E-2</v>
      </c>
      <c r="AJ17" s="53">
        <f t="shared" si="19"/>
        <v>3.0411902785672851E-2</v>
      </c>
      <c r="AK17" s="53">
        <f t="shared" si="20"/>
        <v>3.0836559820250464E-2</v>
      </c>
      <c r="AL17" s="53">
        <f t="shared" si="21"/>
        <v>3.1267489250432323E-2</v>
      </c>
      <c r="AM17" s="53">
        <f t="shared" si="1"/>
        <v>3.1703749759985689E-2</v>
      </c>
      <c r="AN17" s="6"/>
      <c r="AO17" s="54">
        <f>(1-BL17)/SUM($BL17:BL17)</f>
        <v>2.3558851533972861E-2</v>
      </c>
      <c r="AP17" s="54">
        <f>(1-BM17)/SUM($BL17:BM17)</f>
        <v>2.4655043331412992E-2</v>
      </c>
      <c r="AQ17" s="54">
        <f>(1-BN17)/SUM($BL17:BN17)</f>
        <v>2.5757616495861807E-2</v>
      </c>
      <c r="AR17" s="54">
        <f>(1-BO17)/SUM($BL17:BO17)</f>
        <v>2.5373414812064173E-2</v>
      </c>
      <c r="AS17" s="54">
        <f>(1-BP17)/SUM($BL17:BP17)</f>
        <v>2.5362583542545947E-2</v>
      </c>
      <c r="AT17" s="54">
        <f>(1-BQ17)/SUM($BL17:BQ17)</f>
        <v>2.5539792192063305E-2</v>
      </c>
      <c r="AU17" s="54">
        <f>(1-BR17)/SUM($BL17:BR17)</f>
        <v>2.5825437676486984E-2</v>
      </c>
      <c r="AV17" s="54">
        <f>(1-BS17)/SUM($BL17:BS17)</f>
        <v>2.6179676116201398E-2</v>
      </c>
      <c r="AW17" s="54">
        <f>(1-BT17)/SUM($BL17:BT17)</f>
        <v>2.6580368171376559E-2</v>
      </c>
      <c r="AX17" s="54">
        <f>(1-BU17)/SUM($BL17:BU17)</f>
        <v>2.7014239517929094E-2</v>
      </c>
      <c r="AY17" s="54">
        <f>(1-BV17)/SUM($BL17:BV17)</f>
        <v>2.7472857047235275E-2</v>
      </c>
      <c r="AZ17" s="54">
        <f>(1-BW17)/SUM($BL17:BW17)</f>
        <v>2.7950614746834943E-2</v>
      </c>
      <c r="BA17" s="54">
        <f>(1-BX17)/SUM($BL17:BX17)</f>
        <v>2.8443648239315628E-2</v>
      </c>
      <c r="BB17" s="54">
        <f>(1-BY17)/SUM($BL17:BY17)</f>
        <v>2.877731578779898E-2</v>
      </c>
      <c r="BC17" s="54">
        <f>(1-BZ17)/SUM($BL17:BZ17)</f>
        <v>2.9116399548246751E-2</v>
      </c>
      <c r="BD17" s="54">
        <f>(1-CA17)/SUM($BL17:CA17)</f>
        <v>2.9458543376327924E-2</v>
      </c>
      <c r="BE17" s="54">
        <f>(1-CB17)/SUM($BL17:CB17)</f>
        <v>2.9801908404272492E-2</v>
      </c>
      <c r="BF17" s="54">
        <f>(1-CC17)/SUM($BL17:CC17)</f>
        <v>3.0145032260179266E-2</v>
      </c>
      <c r="BG17" s="54">
        <f>(1-CD17)/SUM($BL17:CD17)</f>
        <v>3.0486732653972778E-2</v>
      </c>
      <c r="BH17" s="54">
        <f>(1-CE17)/SUM($BL17:CE17)</f>
        <v>3.0826039867540501E-2</v>
      </c>
      <c r="BI17" s="14"/>
      <c r="BJ17" s="47"/>
      <c r="BK17" s="47"/>
      <c r="BL17" s="6">
        <f t="shared" si="22"/>
        <v>0.97698339328640849</v>
      </c>
      <c r="BM17" s="5">
        <f t="shared" si="2"/>
        <v>0.95243022366972818</v>
      </c>
      <c r="BN17" s="5">
        <f t="shared" si="2"/>
        <v>0.92644001732000203</v>
      </c>
      <c r="BO17" s="5">
        <f t="shared" si="2"/>
        <v>0.90458483484767782</v>
      </c>
      <c r="BP17" s="5">
        <f t="shared" si="2"/>
        <v>0.8822494400418186</v>
      </c>
      <c r="BQ17" s="5">
        <f t="shared" si="2"/>
        <v>0.8594758802125847</v>
      </c>
      <c r="BR17" s="5">
        <f t="shared" si="2"/>
        <v>0.8363062373601865</v>
      </c>
      <c r="BS17" s="5">
        <f t="shared" si="2"/>
        <v>0.81278252438639376</v>
      </c>
      <c r="BT17" s="5">
        <f t="shared" si="2"/>
        <v>0.78894658364380488</v>
      </c>
      <c r="BU17" s="5">
        <f t="shared" si="2"/>
        <v>0.76483998812130849</v>
      </c>
      <c r="BV17" s="5">
        <f t="shared" si="2"/>
        <v>0.74050394554731991</v>
      </c>
      <c r="BW17" s="5">
        <f t="shared" si="2"/>
        <v>0.71597920567490947</v>
      </c>
      <c r="BX17" s="5">
        <f t="shared" si="2"/>
        <v>0.69130597099447821</v>
      </c>
      <c r="BY17" s="5">
        <f t="shared" si="2"/>
        <v>0.66844857856650886</v>
      </c>
      <c r="BZ17" s="5">
        <f t="shared" si="2"/>
        <v>0.6457402690188333</v>
      </c>
      <c r="CA17" s="5">
        <f t="shared" si="2"/>
        <v>0.62321829600852241</v>
      </c>
      <c r="CB17" s="5">
        <f t="shared" si="2"/>
        <v>0.60091807116163254</v>
      </c>
      <c r="CC17" s="5">
        <f t="shared" si="2"/>
        <v>0.5788730987160986</v>
      </c>
      <c r="CD17" s="5">
        <f t="shared" si="2"/>
        <v>0.55711492147129227</v>
      </c>
      <c r="CE17" s="5">
        <f t="shared" si="2"/>
        <v>0.53567307791870256</v>
      </c>
    </row>
    <row r="18" spans="1:83" ht="14.25" customHeight="1">
      <c r="A18" s="49"/>
      <c r="B18" s="55"/>
      <c r="C18" s="6"/>
      <c r="D18" s="6"/>
      <c r="E18" s="6"/>
      <c r="F18" s="6"/>
      <c r="G18" s="6"/>
      <c r="H18" s="6"/>
      <c r="I18" s="6"/>
      <c r="J18" s="6"/>
      <c r="K18" s="14"/>
      <c r="M18" s="24"/>
      <c r="N18" s="42">
        <f t="shared" si="25"/>
        <v>8</v>
      </c>
      <c r="O18" s="50">
        <f>(O17*($N20-$N18)+O20*($N18-$N17))/($N20-$N17)</f>
        <v>1.6E-2</v>
      </c>
      <c r="P18" s="51">
        <f t="shared" si="23"/>
        <v>6.6484077729208577</v>
      </c>
      <c r="Q18" s="52">
        <f t="shared" si="3"/>
        <v>1.6172109551774172E-2</v>
      </c>
      <c r="R18" s="44">
        <f t="shared" si="24"/>
        <v>1.6172109551774172E-2</v>
      </c>
      <c r="S18" s="6"/>
      <c r="T18" s="53">
        <f t="shared" si="0"/>
        <v>2.5779494399155833E-2</v>
      </c>
      <c r="U18" s="53">
        <f t="shared" si="4"/>
        <v>2.6916040980831779E-2</v>
      </c>
      <c r="V18" s="53">
        <f t="shared" si="5"/>
        <v>2.5996689983548205E-2</v>
      </c>
      <c r="W18" s="53">
        <f t="shared" si="6"/>
        <v>2.5826579459512278E-2</v>
      </c>
      <c r="X18" s="53">
        <f t="shared" si="7"/>
        <v>2.5960634909434122E-2</v>
      </c>
      <c r="Y18" s="53">
        <f t="shared" si="8"/>
        <v>2.6251112608024929E-2</v>
      </c>
      <c r="Z18" s="53">
        <f t="shared" si="9"/>
        <v>2.6635122074751383E-2</v>
      </c>
      <c r="AA18" s="53">
        <f t="shared" si="10"/>
        <v>2.7081597037220462E-2</v>
      </c>
      <c r="AB18" s="53">
        <f t="shared" si="11"/>
        <v>2.7573640327182458E-2</v>
      </c>
      <c r="AC18" s="53">
        <f t="shared" si="12"/>
        <v>2.8101470868662215E-2</v>
      </c>
      <c r="AD18" s="53">
        <f t="shared" si="13"/>
        <v>2.8659224014544904E-2</v>
      </c>
      <c r="AE18" s="53">
        <f t="shared" si="14"/>
        <v>2.9243357410747572E-2</v>
      </c>
      <c r="AF18" s="53">
        <f t="shared" si="15"/>
        <v>2.9623386154609133E-2</v>
      </c>
      <c r="AG18" s="53">
        <f t="shared" si="16"/>
        <v>3.0018323882459397E-2</v>
      </c>
      <c r="AH18" s="53">
        <f t="shared" si="17"/>
        <v>3.0425187160096678E-2</v>
      </c>
      <c r="AI18" s="53">
        <f t="shared" si="18"/>
        <v>3.0841738782347861E-2</v>
      </c>
      <c r="AJ18" s="53">
        <f t="shared" si="19"/>
        <v>3.1266268191370905E-2</v>
      </c>
      <c r="AK18" s="53">
        <f t="shared" si="20"/>
        <v>3.1697445121155798E-2</v>
      </c>
      <c r="AL18" s="53">
        <f t="shared" si="21"/>
        <v>3.2134219478876291E-2</v>
      </c>
      <c r="AM18" s="53">
        <f t="shared" si="1"/>
        <v>3.2575751273764775E-2</v>
      </c>
      <c r="AN18" s="6"/>
      <c r="AO18" s="54">
        <f>(1-BL18)/SUM($BL18:BL18)</f>
        <v>2.5779494399155889E-2</v>
      </c>
      <c r="AP18" s="54">
        <f>(1-BM18)/SUM($BL18:BM18)</f>
        <v>2.6900940184023423E-2</v>
      </c>
      <c r="AQ18" s="54">
        <f>(1-BN18)/SUM($BL18:BN18)</f>
        <v>2.6010320434918324E-2</v>
      </c>
      <c r="AR18" s="54">
        <f>(1-BO18)/SUM($BL18:BO18)</f>
        <v>2.5843314111712534E-2</v>
      </c>
      <c r="AS18" s="54">
        <f>(1-BP18)/SUM($BL18:BP18)</f>
        <v>2.5967475943127004E-2</v>
      </c>
      <c r="AT18" s="54">
        <f>(1-BQ18)/SUM($BL18:BQ18)</f>
        <v>2.6238460625546252E-2</v>
      </c>
      <c r="AU18" s="54">
        <f>(1-BR18)/SUM($BL18:BR18)</f>
        <v>2.6594381408131258E-2</v>
      </c>
      <c r="AV18" s="54">
        <f>(1-BS18)/SUM($BL18:BS18)</f>
        <v>2.7004306145852402E-2</v>
      </c>
      <c r="AW18" s="54">
        <f>(1-BT18)/SUM($BL18:BT18)</f>
        <v>2.7451070823991557E-2</v>
      </c>
      <c r="AX18" s="54">
        <f>(1-BU18)/SUM($BL18:BU18)</f>
        <v>2.7924399993659539E-2</v>
      </c>
      <c r="AY18" s="54">
        <f>(1-BV18)/SUM($BL18:BV18)</f>
        <v>2.8417778072276478E-2</v>
      </c>
      <c r="AZ18" s="54">
        <f>(1-BW18)/SUM($BL18:BW18)</f>
        <v>2.8926884390987326E-2</v>
      </c>
      <c r="BA18" s="54">
        <f>(1-BX18)/SUM($BL18:BX18)</f>
        <v>2.9260833526384943E-2</v>
      </c>
      <c r="BB18" s="54">
        <f>(1-BY18)/SUM($BL18:BY18)</f>
        <v>2.9601619902643463E-2</v>
      </c>
      <c r="BC18" s="54">
        <f>(1-BZ18)/SUM($BL18:BZ18)</f>
        <v>2.9946461602208908E-2</v>
      </c>
      <c r="BD18" s="54">
        <f>(1-CA18)/SUM($BL18:CA18)</f>
        <v>3.0293231050322646E-2</v>
      </c>
      <c r="BE18" s="54">
        <f>(1-CB18)/SUM($BL18:CB18)</f>
        <v>3.0640265679542918E-2</v>
      </c>
      <c r="BF18" s="54">
        <f>(1-CC18)/SUM($BL18:CC18)</f>
        <v>3.0986241571991431E-2</v>
      </c>
      <c r="BG18" s="54">
        <f>(1-CD18)/SUM($BL18:CD18)</f>
        <v>3.1330086965278149E-2</v>
      </c>
      <c r="BH18" s="54">
        <f>(1-CE18)/SUM($BL18:CE18)</f>
        <v>3.1670921718350821E-2</v>
      </c>
      <c r="BI18" s="14"/>
      <c r="BJ18" s="47"/>
      <c r="BK18" s="47"/>
      <c r="BL18" s="6">
        <f t="shared" si="22"/>
        <v>0.97486838590563163</v>
      </c>
      <c r="BM18" s="5">
        <f t="shared" si="2"/>
        <v>0.94826588014317525</v>
      </c>
      <c r="BN18" s="5">
        <f t="shared" si="2"/>
        <v>0.92589581467173743</v>
      </c>
      <c r="BO18" s="5">
        <f t="shared" si="2"/>
        <v>0.90303422361569441</v>
      </c>
      <c r="BP18" s="5">
        <f t="shared" si="2"/>
        <v>0.87972414487154338</v>
      </c>
      <c r="BQ18" s="5">
        <f t="shared" si="2"/>
        <v>0.85600865184308983</v>
      </c>
      <c r="BR18" s="5">
        <f t="shared" si="2"/>
        <v>0.83193074720781968</v>
      </c>
      <c r="BS18" s="5">
        <f t="shared" si="2"/>
        <v>0.80753325907610418</v>
      </c>
      <c r="BT18" s="5">
        <f t="shared" si="2"/>
        <v>0.78285873984870447</v>
      </c>
      <c r="BU18" s="5">
        <f t="shared" si="2"/>
        <v>0.75794936806079183</v>
      </c>
      <c r="BV18" s="5">
        <f t="shared" si="2"/>
        <v>0.7328468534828152</v>
      </c>
      <c r="BW18" s="5">
        <f t="shared" si="2"/>
        <v>0.70759234572968577</v>
      </c>
      <c r="BX18" s="5">
        <f t="shared" si="2"/>
        <v>0.68419645938705187</v>
      </c>
      <c r="BY18" s="5">
        <f t="shared" si="2"/>
        <v>0.66095316814615646</v>
      </c>
      <c r="BZ18" s="5">
        <f t="shared" si="2"/>
        <v>0.63790060331744347</v>
      </c>
      <c r="CA18" s="5">
        <f t="shared" si="2"/>
        <v>0.61507501078420956</v>
      </c>
      <c r="CB18" s="5">
        <f t="shared" si="2"/>
        <v>0.59251068410576169</v>
      </c>
      <c r="CC18" s="5">
        <f t="shared" si="2"/>
        <v>0.57023990919359702</v>
      </c>
      <c r="CD18" s="5">
        <f t="shared" si="2"/>
        <v>0.5482929204321354</v>
      </c>
      <c r="CE18" s="5">
        <f t="shared" si="2"/>
        <v>0.52669786804597096</v>
      </c>
    </row>
    <row r="19" spans="1:83" ht="14.25" customHeight="1">
      <c r="A19" s="49"/>
      <c r="B19" s="6"/>
      <c r="C19" s="6"/>
      <c r="D19" s="6"/>
      <c r="E19" s="6"/>
      <c r="F19" s="6"/>
      <c r="G19" s="6"/>
      <c r="H19" s="6"/>
      <c r="I19" s="6"/>
      <c r="J19" s="6"/>
      <c r="K19" s="14"/>
      <c r="M19" s="24"/>
      <c r="N19" s="42">
        <f t="shared" si="25"/>
        <v>9</v>
      </c>
      <c r="O19" s="50">
        <f>(O17*($N20-$N19)+O20*($N19-$N17))/($N20-$N17)</f>
        <v>1.6999999999999998E-2</v>
      </c>
      <c r="P19" s="51">
        <f t="shared" si="23"/>
        <v>7.5279604064181678</v>
      </c>
      <c r="Q19" s="52">
        <f t="shared" si="3"/>
        <v>1.7235137703349501E-2</v>
      </c>
      <c r="R19" s="44">
        <f t="shared" si="24"/>
        <v>1.7235137703349501E-2</v>
      </c>
      <c r="S19" s="6"/>
      <c r="T19" s="53">
        <f>((1+$R20)^$N20/(1+$R19)^$N19)^(1/($N20-$N19))-1</f>
        <v>2.8053846837175822E-2</v>
      </c>
      <c r="U19" s="53">
        <f t="shared" si="4"/>
        <v>2.6105305020772684E-2</v>
      </c>
      <c r="V19" s="53">
        <f t="shared" si="5"/>
        <v>2.5842274959912093E-2</v>
      </c>
      <c r="W19" s="53">
        <f t="shared" si="6"/>
        <v>2.6005925034793709E-2</v>
      </c>
      <c r="X19" s="53">
        <f t="shared" si="7"/>
        <v>2.6345462266673225E-2</v>
      </c>
      <c r="Y19" s="53">
        <f t="shared" si="8"/>
        <v>2.6777796058769399E-2</v>
      </c>
      <c r="Z19" s="53">
        <f t="shared" si="9"/>
        <v>2.7267746578351515E-2</v>
      </c>
      <c r="AA19" s="53">
        <f t="shared" si="10"/>
        <v>2.7798129100699454E-2</v>
      </c>
      <c r="AB19" s="53">
        <f t="shared" si="11"/>
        <v>2.8359792485906699E-2</v>
      </c>
      <c r="AC19" s="53">
        <f t="shared" si="12"/>
        <v>2.894764124575766E-2</v>
      </c>
      <c r="AD19" s="53">
        <f t="shared" si="13"/>
        <v>2.955883346267707E-2</v>
      </c>
      <c r="AE19" s="53">
        <f t="shared" si="14"/>
        <v>2.994435991272848E-2</v>
      </c>
      <c r="AF19" s="53">
        <f t="shared" si="15"/>
        <v>3.0345112287923692E-2</v>
      </c>
      <c r="AG19" s="53">
        <f t="shared" si="16"/>
        <v>3.0757826335461758E-2</v>
      </c>
      <c r="AH19" s="53">
        <f t="shared" si="17"/>
        <v>3.1180108639800475E-2</v>
      </c>
      <c r="AI19" s="53">
        <f t="shared" si="18"/>
        <v>3.1610164377649186E-2</v>
      </c>
      <c r="AJ19" s="53">
        <f t="shared" si="19"/>
        <v>3.2046621195439773E-2</v>
      </c>
      <c r="AK19" s="53">
        <f t="shared" si="20"/>
        <v>3.2488411815085216E-2</v>
      </c>
      <c r="AL19" s="53">
        <f t="shared" si="21"/>
        <v>3.2934693724033792E-2</v>
      </c>
      <c r="AM19" s="53">
        <f t="shared" si="1"/>
        <v>3.3384792965982513E-2</v>
      </c>
      <c r="AN19" s="6"/>
      <c r="AO19" s="54">
        <f>(1-BL19)/SUM($BL19:BL19)</f>
        <v>2.8053846837175878E-2</v>
      </c>
      <c r="AP19" s="54">
        <f>(1-BM19)/SUM($BL19:BM19)</f>
        <v>2.6130387452364706E-2</v>
      </c>
      <c r="AQ19" s="54">
        <f>(1-BN19)/SUM($BL19:BN19)</f>
        <v>2.5865716499587455E-2</v>
      </c>
      <c r="AR19" s="54">
        <f>(1-BO19)/SUM($BL19:BO19)</f>
        <v>2.6017588404208588E-2</v>
      </c>
      <c r="AS19" s="54">
        <f>(1-BP19)/SUM($BL19:BP19)</f>
        <v>2.633760503764487E-2</v>
      </c>
      <c r="AT19" s="54">
        <f>(1-BQ19)/SUM($BL19:BQ19)</f>
        <v>2.6743011617911323E-2</v>
      </c>
      <c r="AU19" s="54">
        <f>(1-BR19)/SUM($BL19:BR19)</f>
        <v>2.7198381898913559E-2</v>
      </c>
      <c r="AV19" s="54">
        <f>(1-BS19)/SUM($BL19:BS19)</f>
        <v>2.7686039522718014E-2</v>
      </c>
      <c r="AW19" s="54">
        <f>(1-BT19)/SUM($BL19:BT19)</f>
        <v>2.8196198520855066E-2</v>
      </c>
      <c r="AX19" s="54">
        <f>(1-BU19)/SUM($BL19:BU19)</f>
        <v>2.87230195618563E-2</v>
      </c>
      <c r="AY19" s="54">
        <f>(1-BV19)/SUM($BL19:BV19)</f>
        <v>2.9262817380634503E-2</v>
      </c>
      <c r="AZ19" s="54">
        <f>(1-BW19)/SUM($BL19:BW19)</f>
        <v>2.9606515333157828E-2</v>
      </c>
      <c r="BA19" s="54">
        <f>(1-BX19)/SUM($BL19:BX19)</f>
        <v>2.9957201934786976E-2</v>
      </c>
      <c r="BB19" s="54">
        <f>(1-BY19)/SUM($BL19:BY19)</f>
        <v>3.0311880130257481E-2</v>
      </c>
      <c r="BC19" s="54">
        <f>(1-BZ19)/SUM($BL19:BZ19)</f>
        <v>3.0668306672974901E-2</v>
      </c>
      <c r="BD19" s="54">
        <f>(1-CA19)/SUM($BL19:CA19)</f>
        <v>3.102475984941877E-2</v>
      </c>
      <c r="BE19" s="54">
        <f>(1-CB19)/SUM($BL19:CB19)</f>
        <v>3.137988901606293E-2</v>
      </c>
      <c r="BF19" s="54">
        <f>(1-CC19)/SUM($BL19:CC19)</f>
        <v>3.173261424233266E-2</v>
      </c>
      <c r="BG19" s="54">
        <f>(1-CD19)/SUM($BL19:CD19)</f>
        <v>3.2082057657824944E-2</v>
      </c>
      <c r="BH19" s="54">
        <f>(1-CE19)/SUM($BL19:CE19)</f>
        <v>3.2427495438475853E-2</v>
      </c>
      <c r="BI19" s="14"/>
      <c r="BJ19" s="47"/>
      <c r="BK19" s="47"/>
      <c r="BL19" s="6">
        <f t="shared" si="22"/>
        <v>0.97271169508923683</v>
      </c>
      <c r="BM19" s="5">
        <f t="shared" si="2"/>
        <v>0.9497649406402694</v>
      </c>
      <c r="BN19" s="5">
        <f t="shared" si="2"/>
        <v>0.92631398932564102</v>
      </c>
      <c r="BO19" s="5">
        <f t="shared" si="2"/>
        <v>0.90240298853706202</v>
      </c>
      <c r="BP19" s="5">
        <f t="shared" si="2"/>
        <v>0.87807612208890806</v>
      </c>
      <c r="BQ19" s="5">
        <f t="shared" si="2"/>
        <v>0.85337750124595002</v>
      </c>
      <c r="BR19" s="5">
        <f t="shared" si="2"/>
        <v>0.82835105820558963</v>
      </c>
      <c r="BS19" s="5">
        <f t="shared" si="2"/>
        <v>0.80304044234796457</v>
      </c>
      <c r="BT19" s="5">
        <f t="shared" si="2"/>
        <v>0.77748891954955879</v>
      </c>
      <c r="BU19" s="5">
        <f t="shared" si="2"/>
        <v>0.7517392748376156</v>
      </c>
      <c r="BV19" s="5">
        <f t="shared" si="2"/>
        <v>0.72583371864330959</v>
      </c>
      <c r="BW19" s="5">
        <f t="shared" si="2"/>
        <v>0.7018346981797432</v>
      </c>
      <c r="BX19" s="5">
        <f t="shared" si="2"/>
        <v>0.67799220664248327</v>
      </c>
      <c r="BY19" s="5">
        <f t="shared" si="2"/>
        <v>0.6543453583478831</v>
      </c>
      <c r="BZ19" s="5">
        <f t="shared" si="2"/>
        <v>0.6309313335797827</v>
      </c>
      <c r="CA19" s="5">
        <f t="shared" si="2"/>
        <v>0.60778530996810709</v>
      </c>
      <c r="CB19" s="5">
        <f t="shared" si="2"/>
        <v>0.58494040573882888</v>
      </c>
      <c r="CC19" s="5">
        <f t="shared" si="2"/>
        <v>0.56242763470351298</v>
      </c>
      <c r="CD19" s="5">
        <f t="shared" si="2"/>
        <v>0.54027587278530831</v>
      </c>
      <c r="CE19" s="5">
        <f t="shared" si="2"/>
        <v>0.51851183581117022</v>
      </c>
    </row>
    <row r="20" spans="1:83" ht="14.25" customHeight="1">
      <c r="A20" s="24"/>
      <c r="B20" s="6"/>
      <c r="C20" s="13"/>
      <c r="D20" s="13"/>
      <c r="E20" s="13"/>
      <c r="F20" s="13"/>
      <c r="G20" s="13"/>
      <c r="H20" s="13"/>
      <c r="I20" s="13"/>
      <c r="J20" s="13"/>
      <c r="K20" s="14"/>
      <c r="M20" s="24"/>
      <c r="N20" s="42">
        <f t="shared" si="25"/>
        <v>10</v>
      </c>
      <c r="O20" s="169">
        <f>'Input - Entrée de données'!D12</f>
        <v>1.7999999999999999E-2</v>
      </c>
      <c r="P20" s="51">
        <f t="shared" si="23"/>
        <v>8.3854084625547376</v>
      </c>
      <c r="Q20" s="52">
        <f t="shared" si="3"/>
        <v>1.8311865464575972E-2</v>
      </c>
      <c r="R20" s="44">
        <f t="shared" si="24"/>
        <v>1.8311865464575972E-2</v>
      </c>
      <c r="S20" s="6"/>
      <c r="T20" s="53">
        <f t="shared" si="0"/>
        <v>2.4160456410928344E-2</v>
      </c>
      <c r="U20" s="53">
        <f t="shared" si="4"/>
        <v>2.4738273754597584E-2</v>
      </c>
      <c r="V20" s="53">
        <f t="shared" si="5"/>
        <v>2.5324191399424656E-2</v>
      </c>
      <c r="W20" s="53">
        <f t="shared" si="6"/>
        <v>2.5918809892026884E-2</v>
      </c>
      <c r="X20" s="53">
        <f t="shared" si="7"/>
        <v>2.6522776030660555E-2</v>
      </c>
      <c r="Y20" s="53">
        <f t="shared" si="8"/>
        <v>2.7136788320339278E-2</v>
      </c>
      <c r="Z20" s="53">
        <f t="shared" si="9"/>
        <v>2.7761603188276807E-2</v>
      </c>
      <c r="AA20" s="53">
        <f t="shared" si="10"/>
        <v>2.8398042093288778E-2</v>
      </c>
      <c r="AB20" s="53">
        <f t="shared" si="11"/>
        <v>2.9046999690451214E-2</v>
      </c>
      <c r="AC20" s="53">
        <f t="shared" si="12"/>
        <v>2.9709453246790307E-2</v>
      </c>
      <c r="AD20" s="53">
        <f t="shared" si="13"/>
        <v>3.0116397030734987E-2</v>
      </c>
      <c r="AE20" s="53">
        <f t="shared" si="14"/>
        <v>3.053628142657705E-2</v>
      </c>
      <c r="AF20" s="53">
        <f t="shared" si="15"/>
        <v>3.0966119099631984E-2</v>
      </c>
      <c r="AG20" s="53">
        <f t="shared" si="16"/>
        <v>3.1403776493371893E-2</v>
      </c>
      <c r="AH20" s="53">
        <f t="shared" si="17"/>
        <v>3.1847689157704417E-2</v>
      </c>
      <c r="AI20" s="53">
        <f t="shared" si="18"/>
        <v>3.22966838569263E-2</v>
      </c>
      <c r="AJ20" s="53">
        <f t="shared" si="19"/>
        <v>3.2749863478482411E-2</v>
      </c>
      <c r="AK20" s="53">
        <f t="shared" si="20"/>
        <v>3.3206530314346505E-2</v>
      </c>
      <c r="AL20" s="53">
        <f t="shared" si="21"/>
        <v>3.3666133574642432E-2</v>
      </c>
      <c r="AM20" s="53">
        <f t="shared" si="1"/>
        <v>3.4128232650459944E-2</v>
      </c>
      <c r="AN20" s="6"/>
      <c r="AO20" s="54">
        <f>(1-BL20)/SUM($BL20:BL20)</f>
        <v>2.4160456410928385E-2</v>
      </c>
      <c r="AP20" s="54">
        <f>(1-BM20)/SUM($BL20:BM20)</f>
        <v>2.4731212009528252E-2</v>
      </c>
      <c r="AQ20" s="54">
        <f>(1-BN20)/SUM($BL20:BN20)</f>
        <v>2.5304719848620452E-2</v>
      </c>
      <c r="AR20" s="54">
        <f>(1-BO20)/SUM($BL20:BO20)</f>
        <v>2.5881053151561629E-2</v>
      </c>
      <c r="AS20" s="54">
        <f>(1-BP20)/SUM($BL20:BP20)</f>
        <v>2.6460288120804969E-2</v>
      </c>
      <c r="AT20" s="54">
        <f>(1-BQ20)/SUM($BL20:BQ20)</f>
        <v>2.7042504027879256E-2</v>
      </c>
      <c r="AU20" s="54">
        <f>(1-BR20)/SUM($BL20:BR20)</f>
        <v>2.7627783306456818E-2</v>
      </c>
      <c r="AV20" s="54">
        <f>(1-BS20)/SUM($BL20:BS20)</f>
        <v>2.821621164857703E-2</v>
      </c>
      <c r="AW20" s="54">
        <f>(1-BT20)/SUM($BL20:BT20)</f>
        <v>2.8807878104065952E-2</v>
      </c>
      <c r="AX20" s="54">
        <f>(1-BU20)/SUM($BL20:BU20)</f>
        <v>2.9402875183206913E-2</v>
      </c>
      <c r="AY20" s="54">
        <f>(1-BV20)/SUM($BL20:BV20)</f>
        <v>2.9772514638312302E-2</v>
      </c>
      <c r="AZ20" s="54">
        <f>(1-BW20)/SUM($BL20:BW20)</f>
        <v>3.014658152601328E-2</v>
      </c>
      <c r="BA20" s="54">
        <f>(1-BX20)/SUM($BL20:BX20)</f>
        <v>3.0522455126755822E-2</v>
      </c>
      <c r="BB20" s="54">
        <f>(1-BY20)/SUM($BL20:BY20)</f>
        <v>3.0898213771553822E-2</v>
      </c>
      <c r="BC20" s="54">
        <f>(1-BZ20)/SUM($BL20:BZ20)</f>
        <v>3.127240515071697E-2</v>
      </c>
      <c r="BD20" s="54">
        <f>(1-CA20)/SUM($BL20:CA20)</f>
        <v>3.1643902603469408E-2</v>
      </c>
      <c r="BE20" s="54">
        <f>(1-CB20)/SUM($BL20:CB20)</f>
        <v>3.2011812100002091E-2</v>
      </c>
      <c r="BF20" s="54">
        <f>(1-CC20)/SUM($BL20:CC20)</f>
        <v>3.2375410261173694E-2</v>
      </c>
      <c r="BG20" s="54">
        <f>(1-CD20)/SUM($BL20:CD20)</f>
        <v>3.2734102011208001E-2</v>
      </c>
      <c r="BH20" s="54">
        <f>(1-CE20)/SUM($BL20:CE20)</f>
        <v>3.3087391006713485E-2</v>
      </c>
      <c r="BI20" s="14"/>
      <c r="BJ20" s="47"/>
      <c r="BK20" s="47"/>
      <c r="BL20" s="6">
        <f t="shared" si="22"/>
        <v>0.97640950081631117</v>
      </c>
      <c r="BM20" s="5">
        <f t="shared" si="2"/>
        <v>0.95230066010531589</v>
      </c>
      <c r="BN20" s="5">
        <f t="shared" si="2"/>
        <v>0.92771886376289014</v>
      </c>
      <c r="BO20" s="5">
        <f t="shared" si="2"/>
        <v>0.90270953512937191</v>
      </c>
      <c r="BP20" s="5">
        <f t="shared" si="2"/>
        <v>0.8773180229601949</v>
      </c>
      <c r="BQ20" s="5">
        <f t="shared" si="2"/>
        <v>0.85158949191990096</v>
      </c>
      <c r="BR20" s="5">
        <f t="shared" si="2"/>
        <v>0.8255688159216521</v>
      </c>
      <c r="BS20" s="5">
        <f t="shared" si="2"/>
        <v>0.79930047461620279</v>
      </c>
      <c r="BT20" s="5">
        <f t="shared" si="2"/>
        <v>0.77282845331539951</v>
      </c>
      <c r="BU20" s="5">
        <f t="shared" si="2"/>
        <v>0.7461961466153878</v>
      </c>
      <c r="BV20" s="5">
        <f t="shared" si="2"/>
        <v>0.72152386130749369</v>
      </c>
      <c r="BW20" s="5">
        <f t="shared" si="2"/>
        <v>0.69701249616443128</v>
      </c>
      <c r="BX20" s="5">
        <f t="shared" si="2"/>
        <v>0.67270226280959211</v>
      </c>
      <c r="BY20" s="5">
        <f t="shared" si="2"/>
        <v>0.64863138457680558</v>
      </c>
      <c r="BZ20" s="5">
        <f t="shared" si="2"/>
        <v>0.62483602596383714</v>
      </c>
      <c r="CA20" s="5">
        <f t="shared" si="2"/>
        <v>0.60135023429030032</v>
      </c>
      <c r="CB20" s="5">
        <f t="shared" si="2"/>
        <v>0.57820589342448081</v>
      </c>
      <c r="CC20" s="5">
        <f t="shared" si="2"/>
        <v>0.55543268937024937</v>
      </c>
      <c r="CD20" s="5">
        <f t="shared" si="2"/>
        <v>0.5330580874362788</v>
      </c>
      <c r="CE20" s="5">
        <f t="shared" si="2"/>
        <v>0.51110732064566788</v>
      </c>
    </row>
    <row r="21" spans="1:83" ht="14.25" customHeight="1">
      <c r="A21" s="49"/>
      <c r="B21" s="6" t="str">
        <f>INDEX(Équivalences!$C$2:$D$397,MATCH("The corresponding forward par yields FP(n,m) are then derived via the formula",Équivalences!$C$2:$C$397,0), langue)</f>
        <v>Les rendements au pair à terme FP(n,m) correspondants sont ensuite calculés au moyen de la formule :</v>
      </c>
      <c r="C21" s="13"/>
      <c r="D21" s="13"/>
      <c r="E21" s="13"/>
      <c r="F21" s="13"/>
      <c r="G21" s="13"/>
      <c r="H21" s="13"/>
      <c r="I21" s="13"/>
      <c r="J21" s="13"/>
      <c r="K21" s="14"/>
      <c r="M21" s="24"/>
      <c r="N21" s="42">
        <f t="shared" si="25"/>
        <v>11</v>
      </c>
      <c r="O21" s="50">
        <f t="shared" ref="O21:O29" si="26">(O$20*($N$30-$N21)+O$30*($N21-$N$20))/($N$30-$N$20)</f>
        <v>1.8499999999999996E-2</v>
      </c>
      <c r="P21" s="51">
        <f t="shared" si="23"/>
        <v>9.2194582146903112</v>
      </c>
      <c r="Q21" s="52">
        <f t="shared" si="3"/>
        <v>1.8842172548831471E-2</v>
      </c>
      <c r="R21" s="44">
        <f t="shared" si="24"/>
        <v>1.8842172548831471E-2</v>
      </c>
      <c r="S21" s="6"/>
      <c r="T21" s="53">
        <f t="shared" si="0"/>
        <v>2.5316417094921384E-2</v>
      </c>
      <c r="U21" s="53">
        <f t="shared" si="4"/>
        <v>2.5906554673930104E-2</v>
      </c>
      <c r="V21" s="53">
        <f t="shared" si="5"/>
        <v>2.6505598323223634E-2</v>
      </c>
      <c r="W21" s="53">
        <f t="shared" si="6"/>
        <v>2.7114206836686972E-2</v>
      </c>
      <c r="X21" s="53">
        <f t="shared" si="7"/>
        <v>2.7733091847775171E-2</v>
      </c>
      <c r="Y21" s="53">
        <f t="shared" si="8"/>
        <v>2.8363024177270102E-2</v>
      </c>
      <c r="Z21" s="53">
        <f t="shared" si="9"/>
        <v>2.9004841094989908E-2</v>
      </c>
      <c r="AA21" s="53">
        <f t="shared" si="10"/>
        <v>2.9659454660371898E-2</v>
      </c>
      <c r="AB21" s="53">
        <f t="shared" si="11"/>
        <v>3.032786134214227E-2</v>
      </c>
      <c r="AC21" s="53">
        <f t="shared" si="12"/>
        <v>3.0713892780202201E-2</v>
      </c>
      <c r="AD21" s="53">
        <f t="shared" si="13"/>
        <v>3.1117866387007309E-2</v>
      </c>
      <c r="AE21" s="53">
        <f t="shared" si="14"/>
        <v>3.1535294904525779E-2</v>
      </c>
      <c r="AF21" s="53">
        <f t="shared" si="15"/>
        <v>3.1963072228986311E-2</v>
      </c>
      <c r="AG21" s="53">
        <f t="shared" si="16"/>
        <v>3.2398979989117338E-2</v>
      </c>
      <c r="AH21" s="53">
        <f t="shared" si="17"/>
        <v>3.2841391549991217E-2</v>
      </c>
      <c r="AI21" s="53">
        <f t="shared" si="18"/>
        <v>3.3289087045427879E-2</v>
      </c>
      <c r="AJ21" s="53">
        <f t="shared" si="19"/>
        <v>3.3741133709687565E-2</v>
      </c>
      <c r="AK21" s="53">
        <f t="shared" si="20"/>
        <v>3.4196806108183875E-2</v>
      </c>
      <c r="AL21" s="53">
        <f t="shared" si="21"/>
        <v>3.4655531564232733E-2</v>
      </c>
      <c r="AM21" s="53">
        <f t="shared" si="1"/>
        <v>3.5116851961317419E-2</v>
      </c>
      <c r="AN21" s="6"/>
      <c r="AO21" s="54">
        <f>(1-BL21)/SUM($BL21:BL21)</f>
        <v>2.5316417094921412E-2</v>
      </c>
      <c r="AP21" s="54">
        <f>(1-BM21)/SUM($BL21:BM21)</f>
        <v>2.5899006066297903E-2</v>
      </c>
      <c r="AQ21" s="54">
        <f>(1-BN21)/SUM($BL21:BN21)</f>
        <v>2.6484779554315909E-2</v>
      </c>
      <c r="AR21" s="54">
        <f>(1-BO21)/SUM($BL21:BO21)</f>
        <v>2.707382600201726E-2</v>
      </c>
      <c r="AS21" s="54">
        <f>(1-BP21)/SUM($BL21:BP21)</f>
        <v>2.7666237484445577E-2</v>
      </c>
      <c r="AT21" s="54">
        <f>(1-BQ21)/SUM($BL21:BQ21)</f>
        <v>2.8262109826792739E-2</v>
      </c>
      <c r="AU21" s="54">
        <f>(1-BR21)/SUM($BL21:BR21)</f>
        <v>2.8861542726966425E-2</v>
      </c>
      <c r="AV21" s="54">
        <f>(1-BS21)/SUM($BL21:BS21)</f>
        <v>2.9464639882669508E-2</v>
      </c>
      <c r="AW21" s="54">
        <f>(1-BT21)/SUM($BL21:BT21)</f>
        <v>3.0071509123121506E-2</v>
      </c>
      <c r="AX21" s="54">
        <f>(1-BU21)/SUM($BL21:BU21)</f>
        <v>3.0426642779223509E-2</v>
      </c>
      <c r="AY21" s="54">
        <f>(1-BV21)/SUM($BL21:BV21)</f>
        <v>3.0790714917382021E-2</v>
      </c>
      <c r="AZ21" s="54">
        <f>(1-BW21)/SUM($BL21:BW21)</f>
        <v>3.1159785911591173E-2</v>
      </c>
      <c r="BA21" s="54">
        <f>(1-BX21)/SUM($BL21:BX21)</f>
        <v>3.1531071574444632E-2</v>
      </c>
      <c r="BB21" s="54">
        <f>(1-BY21)/SUM($BL21:BY21)</f>
        <v>3.1902534487949684E-2</v>
      </c>
      <c r="BC21" s="54">
        <f>(1-BZ21)/SUM($BL21:BZ21)</f>
        <v>3.2272638432005021E-2</v>
      </c>
      <c r="BD21" s="54">
        <f>(1-CA21)/SUM($BL21:CA21)</f>
        <v>3.2640194772238826E-2</v>
      </c>
      <c r="BE21" s="54">
        <f>(1-CB21)/SUM($BL21:CB21)</f>
        <v>3.3004263048308884E-2</v>
      </c>
      <c r="BF21" s="54">
        <f>(1-CC21)/SUM($BL21:CC21)</f>
        <v>3.336408473876927E-2</v>
      </c>
      <c r="BG21" s="54">
        <f>(1-CD21)/SUM($BL21:CD21)</f>
        <v>3.3719038006870157E-2</v>
      </c>
      <c r="BH21" s="54">
        <f>(1-CE21)/SUM($BL21:CE21)</f>
        <v>3.406860609688267E-2</v>
      </c>
      <c r="BI21" s="14"/>
      <c r="BJ21" s="47"/>
      <c r="BK21" s="47"/>
      <c r="BL21" s="6">
        <f t="shared" si="22"/>
        <v>0.97530867869388882</v>
      </c>
      <c r="BM21" s="5">
        <f t="shared" si="2"/>
        <v>0.95013297493242932</v>
      </c>
      <c r="BN21" s="5">
        <f t="shared" si="2"/>
        <v>0.92451940950459399</v>
      </c>
      <c r="BO21" s="5">
        <f t="shared" si="2"/>
        <v>0.89851442681244709</v>
      </c>
      <c r="BP21" s="5">
        <f t="shared" si="2"/>
        <v>0.87216428271943647</v>
      </c>
      <c r="BQ21" s="5">
        <f t="shared" si="2"/>
        <v>0.8455149353129493</v>
      </c>
      <c r="BR21" s="5">
        <f t="shared" si="2"/>
        <v>0.81861193889240147</v>
      </c>
      <c r="BS21" s="5">
        <f t="shared" si="2"/>
        <v>0.79150034147485127</v>
      </c>
      <c r="BT21" s="5">
        <f t="shared" si="2"/>
        <v>0.76422458608969013</v>
      </c>
      <c r="BU21" s="5">
        <f t="shared" si="2"/>
        <v>0.73895620710805809</v>
      </c>
      <c r="BV21" s="5">
        <f t="shared" si="2"/>
        <v>0.71385263619588413</v>
      </c>
      <c r="BW21" s="5">
        <f t="shared" si="2"/>
        <v>0.68895505650773647</v>
      </c>
      <c r="BX21" s="5">
        <f t="shared" si="2"/>
        <v>0.66430261487063247</v>
      </c>
      <c r="BY21" s="5">
        <f t="shared" si="2"/>
        <v>0.63993234953311418</v>
      </c>
      <c r="BZ21" s="5">
        <f t="shared" si="2"/>
        <v>0.61587913041357278</v>
      </c>
      <c r="CA21" s="5">
        <f t="shared" si="2"/>
        <v>0.59217561170910338</v>
      </c>
      <c r="CB21" s="5">
        <f t="shared" si="2"/>
        <v>0.56885219665098341</v>
      </c>
      <c r="CC21" s="5">
        <f t="shared" si="2"/>
        <v>0.54593701412227735</v>
      </c>
      <c r="CD21" s="5">
        <f t="shared" si="2"/>
        <v>0.52345590678743481</v>
      </c>
      <c r="CE21" s="5">
        <f t="shared" si="2"/>
        <v>0.5014324303234089</v>
      </c>
    </row>
    <row r="22" spans="1:83" ht="14.25" customHeight="1">
      <c r="A22" s="49"/>
      <c r="B22" s="55"/>
      <c r="C22" s="13"/>
      <c r="D22" s="13"/>
      <c r="E22" s="13"/>
      <c r="F22" s="13"/>
      <c r="G22" s="13"/>
      <c r="H22" s="13"/>
      <c r="I22" s="13"/>
      <c r="J22" s="13"/>
      <c r="K22" s="14"/>
      <c r="M22" s="24"/>
      <c r="N22" s="42">
        <f t="shared" si="25"/>
        <v>12</v>
      </c>
      <c r="O22" s="50">
        <f t="shared" si="26"/>
        <v>1.9E-2</v>
      </c>
      <c r="P22" s="51">
        <f t="shared" si="23"/>
        <v>10.033832316828976</v>
      </c>
      <c r="Q22" s="52">
        <f t="shared" si="3"/>
        <v>1.9380127932881352E-2</v>
      </c>
      <c r="R22" s="44">
        <f t="shared" si="24"/>
        <v>1.9380127932881352E-2</v>
      </c>
      <c r="S22" s="6"/>
      <c r="T22" s="53">
        <f t="shared" si="0"/>
        <v>2.6497031916242753E-2</v>
      </c>
      <c r="U22" s="53">
        <f t="shared" si="4"/>
        <v>2.7100706050456447E-2</v>
      </c>
      <c r="V22" s="53">
        <f t="shared" si="5"/>
        <v>2.7714170309956154E-2</v>
      </c>
      <c r="W22" s="53">
        <f t="shared" si="6"/>
        <v>2.8338150029541431E-2</v>
      </c>
      <c r="X22" s="53">
        <f t="shared" si="7"/>
        <v>2.8973431050259402E-2</v>
      </c>
      <c r="Y22" s="53">
        <f t="shared" si="8"/>
        <v>2.9620867140219387E-2</v>
      </c>
      <c r="Z22" s="53">
        <f t="shared" si="9"/>
        <v>3.0281388518963226E-2</v>
      </c>
      <c r="AA22" s="53">
        <f t="shared" si="10"/>
        <v>3.095601169024409E-2</v>
      </c>
      <c r="AB22" s="53">
        <f t="shared" si="11"/>
        <v>3.1315363486556613E-2</v>
      </c>
      <c r="AC22" s="53">
        <f t="shared" si="12"/>
        <v>3.1699813677846356E-2</v>
      </c>
      <c r="AD22" s="53">
        <f t="shared" si="13"/>
        <v>3.21025143941851E-2</v>
      </c>
      <c r="AE22" s="53">
        <f t="shared" si="14"/>
        <v>3.2518901225132346E-2</v>
      </c>
      <c r="AF22" s="53">
        <f t="shared" si="15"/>
        <v>3.2945814669187667E-2</v>
      </c>
      <c r="AG22" s="53">
        <f t="shared" si="16"/>
        <v>3.3380998223083935E-2</v>
      </c>
      <c r="AH22" s="53">
        <f t="shared" si="17"/>
        <v>3.3822797294180029E-2</v>
      </c>
      <c r="AI22" s="53">
        <f t="shared" si="18"/>
        <v>3.4269971051718695E-2</v>
      </c>
      <c r="AJ22" s="53">
        <f t="shared" si="19"/>
        <v>3.4721570700689153E-2</v>
      </c>
      <c r="AK22" s="53">
        <f t="shared" si="20"/>
        <v>3.5176858340976835E-2</v>
      </c>
      <c r="AL22" s="53">
        <f t="shared" si="21"/>
        <v>3.5635251455867989E-2</v>
      </c>
      <c r="AM22" s="53">
        <f t="shared" si="1"/>
        <v>3.60962840576593E-2</v>
      </c>
      <c r="AN22" s="6"/>
      <c r="AO22" s="54">
        <f>(1-BL22)/SUM($BL22:BL22)</f>
        <v>2.6497031916242735E-2</v>
      </c>
      <c r="AP22" s="54">
        <f>(1-BM22)/SUM($BL22:BM22)</f>
        <v>2.7092633072102724E-2</v>
      </c>
      <c r="AQ22" s="54">
        <f>(1-BN22)/SUM($BL22:BN22)</f>
        <v>2.769189778628621E-2</v>
      </c>
      <c r="AR22" s="54">
        <f>(1-BO22)/SUM($BL22:BO22)</f>
        <v>2.8294932151732857E-2</v>
      </c>
      <c r="AS22" s="54">
        <f>(1-BP22)/SUM($BL22:BP22)</f>
        <v>2.8901846675356804E-2</v>
      </c>
      <c r="AT22" s="54">
        <f>(1-BQ22)/SUM($BL22:BQ22)</f>
        <v>2.9512756432154251E-2</v>
      </c>
      <c r="AU22" s="54">
        <f>(1-BR22)/SUM($BL22:BR22)</f>
        <v>3.012778122550544E-2</v>
      </c>
      <c r="AV22" s="54">
        <f>(1-BS22)/SUM($BL22:BS22)</f>
        <v>3.0747045753903756E-2</v>
      </c>
      <c r="AW22" s="54">
        <f>(1-BT22)/SUM($BL22:BT22)</f>
        <v>3.1082081533377718E-2</v>
      </c>
      <c r="AX22" s="54">
        <f>(1-BU22)/SUM($BL22:BU22)</f>
        <v>3.1432592229058219E-2</v>
      </c>
      <c r="AY22" s="54">
        <f>(1-BV22)/SUM($BL22:BV22)</f>
        <v>3.1792529553701217E-2</v>
      </c>
      <c r="AZ22" s="54">
        <f>(1-BW22)/SUM($BL22:BW22)</f>
        <v>3.2157795815723221E-2</v>
      </c>
      <c r="BA22" s="54">
        <f>(1-BX22)/SUM($BL22:BX22)</f>
        <v>3.2525498722491962E-2</v>
      </c>
      <c r="BB22" s="54">
        <f>(1-BY22)/SUM($BL22:BY22)</f>
        <v>3.2893524790106467E-2</v>
      </c>
      <c r="BC22" s="54">
        <f>(1-BZ22)/SUM($BL22:BZ22)</f>
        <v>3.3260283085229339E-2</v>
      </c>
      <c r="BD22" s="54">
        <f>(1-CA22)/SUM($BL22:CA22)</f>
        <v>3.3624544969270372E-2</v>
      </c>
      <c r="BE22" s="54">
        <f>(1-CB22)/SUM($BL22:CB22)</f>
        <v>3.3985340407760564E-2</v>
      </c>
      <c r="BF22" s="54">
        <f>(1-CC22)/SUM($BL22:CC22)</f>
        <v>3.4341888894000971E-2</v>
      </c>
      <c r="BG22" s="54">
        <f>(1-CD22)/SUM($BL22:CD22)</f>
        <v>3.4693552257313777E-2</v>
      </c>
      <c r="BH22" s="54">
        <f>(1-CE22)/SUM($BL22:CE22)</f>
        <v>3.5039801706436682E-2</v>
      </c>
      <c r="BI22" s="14"/>
      <c r="BJ22" s="47"/>
      <c r="BK22" s="47"/>
      <c r="BL22" s="6">
        <f t="shared" si="22"/>
        <v>0.97418693762145747</v>
      </c>
      <c r="BM22" s="5">
        <f t="shared" si="2"/>
        <v>0.94792492848796284</v>
      </c>
      <c r="BN22" s="5">
        <f t="shared" si="2"/>
        <v>0.92126159280743536</v>
      </c>
      <c r="BO22" s="5">
        <f t="shared" si="2"/>
        <v>0.89424435747605469</v>
      </c>
      <c r="BP22" s="5">
        <f t="shared" si="2"/>
        <v>0.86692034407531782</v>
      </c>
      <c r="BQ22" s="5">
        <f t="shared" si="2"/>
        <v>0.83933626017628371</v>
      </c>
      <c r="BR22" s="5">
        <f t="shared" si="2"/>
        <v>0.81153829425040103</v>
      </c>
      <c r="BS22" s="5">
        <f t="shared" si="2"/>
        <v>0.78357201446533076</v>
      </c>
      <c r="BT22" s="5">
        <f t="shared" si="2"/>
        <v>0.75766393066208582</v>
      </c>
      <c r="BU22" s="5">
        <f t="shared" si="2"/>
        <v>0.73192482727812769</v>
      </c>
      <c r="BV22" s="5">
        <f t="shared" si="2"/>
        <v>0.7063969300779408</v>
      </c>
      <c r="BW22" s="5">
        <f t="shared" si="2"/>
        <v>0.68112037694594507</v>
      </c>
      <c r="BX22" s="5">
        <f t="shared" si="2"/>
        <v>0.65613314380642862</v>
      </c>
      <c r="BY22" s="5">
        <f t="shared" si="2"/>
        <v>0.63147098335918028</v>
      </c>
      <c r="BZ22" s="5">
        <f t="shared" si="2"/>
        <v>0.60716737648857189</v>
      </c>
      <c r="CA22" s="5">
        <f t="shared" si="2"/>
        <v>0.58325349612676258</v>
      </c>
      <c r="CB22" s="5">
        <f t="shared" si="2"/>
        <v>0.55975818327935178</v>
      </c>
      <c r="CC22" s="5">
        <f t="shared" si="2"/>
        <v>0.53670793485446555</v>
      </c>
      <c r="CD22" s="5">
        <f t="shared" si="2"/>
        <v>0.51412690287439688</v>
      </c>
      <c r="CE22" s="5">
        <f t="shared" si="2"/>
        <v>0.49203690459285448</v>
      </c>
    </row>
    <row r="23" spans="1:83" ht="14.25" customHeight="1">
      <c r="A23" s="56"/>
      <c r="B23" s="55" t="str">
        <f>INDEX(Équivalences!$C$2:$D$397,MATCH("Formula 3:",Équivalences!$C$2:$C$397,0), langue)</f>
        <v>Formule 3 :</v>
      </c>
      <c r="C23" s="6"/>
      <c r="D23" s="6"/>
      <c r="E23" s="6"/>
      <c r="F23" s="6"/>
      <c r="G23" s="6"/>
      <c r="H23" s="6"/>
      <c r="I23" s="6"/>
      <c r="J23" s="6"/>
      <c r="K23" s="14"/>
      <c r="M23" s="24"/>
      <c r="N23" s="42">
        <f t="shared" si="25"/>
        <v>13</v>
      </c>
      <c r="O23" s="50">
        <f t="shared" si="26"/>
        <v>1.95E-2</v>
      </c>
      <c r="P23" s="51">
        <f t="shared" si="23"/>
        <v>10.828098446348358</v>
      </c>
      <c r="Q23" s="52">
        <f t="shared" si="3"/>
        <v>1.9925825891381255E-2</v>
      </c>
      <c r="R23" s="44">
        <f t="shared" si="24"/>
        <v>1.9925825891381255E-2</v>
      </c>
      <c r="S23" s="6"/>
      <c r="T23" s="53">
        <f t="shared" si="0"/>
        <v>2.7704735200270392E-2</v>
      </c>
      <c r="U23" s="53">
        <f t="shared" si="4"/>
        <v>2.8323280594558575E-2</v>
      </c>
      <c r="V23" s="53">
        <f t="shared" si="5"/>
        <v>2.8952589601030976E-2</v>
      </c>
      <c r="W23" s="53">
        <f t="shared" si="6"/>
        <v>2.9593463748344817E-2</v>
      </c>
      <c r="X23" s="53">
        <f t="shared" si="7"/>
        <v>3.0246774034963009E-2</v>
      </c>
      <c r="Y23" s="53">
        <f t="shared" si="8"/>
        <v>3.0913469645718727E-2</v>
      </c>
      <c r="Z23" s="53">
        <f t="shared" si="9"/>
        <v>3.1594588007459734E-2</v>
      </c>
      <c r="AA23" s="53">
        <f t="shared" si="10"/>
        <v>3.1919243020706478E-2</v>
      </c>
      <c r="AB23" s="53">
        <f t="shared" si="11"/>
        <v>3.2279525891995453E-2</v>
      </c>
      <c r="AC23" s="53">
        <f t="shared" si="12"/>
        <v>3.2664743460297352E-2</v>
      </c>
      <c r="AD23" s="53">
        <f t="shared" si="13"/>
        <v>3.3068092528968585E-2</v>
      </c>
      <c r="AE23" s="53">
        <f t="shared" si="14"/>
        <v>3.3485038458128891E-2</v>
      </c>
      <c r="AF23" s="53">
        <f t="shared" si="15"/>
        <v>3.3912442350064298E-2</v>
      </c>
      <c r="AG23" s="53">
        <f t="shared" si="16"/>
        <v>3.4348062414559566E-2</v>
      </c>
      <c r="AH23" s="53">
        <f t="shared" si="17"/>
        <v>3.4790254846097879E-2</v>
      </c>
      <c r="AI23" s="53">
        <f t="shared" si="18"/>
        <v>3.523778690268875E-2</v>
      </c>
      <c r="AJ23" s="53">
        <f t="shared" si="19"/>
        <v>3.5689715973805436E-2</v>
      </c>
      <c r="AK23" s="53">
        <f t="shared" si="20"/>
        <v>3.6145308968776435E-2</v>
      </c>
      <c r="AL23" s="53">
        <f t="shared" si="21"/>
        <v>3.6603987167320273E-2</v>
      </c>
      <c r="AM23" s="53">
        <f t="shared" si="1"/>
        <v>3.7065287618529785E-2</v>
      </c>
      <c r="AN23" s="6"/>
      <c r="AO23" s="54">
        <f>(1-BL23)/SUM($BL23:BL23)</f>
        <v>2.7704735200270423E-2</v>
      </c>
      <c r="AP23" s="54">
        <f>(1-BM23)/SUM($BL23:BM23)</f>
        <v>2.8314640733308551E-2</v>
      </c>
      <c r="AQ23" s="54">
        <f>(1-BN23)/SUM($BL23:BN23)</f>
        <v>2.8928742440969681E-2</v>
      </c>
      <c r="AR23" s="54">
        <f>(1-BO23)/SUM($BL23:BO23)</f>
        <v>2.9547166916270434E-2</v>
      </c>
      <c r="AS23" s="54">
        <f>(1-BP23)/SUM($BL23:BP23)</f>
        <v>3.0170046106661512E-2</v>
      </c>
      <c r="AT23" s="54">
        <f>(1-BQ23)/SUM($BL23:BQ23)</f>
        <v>3.0797517514016694E-2</v>
      </c>
      <c r="AU23" s="54">
        <f>(1-BR23)/SUM($BL23:BR23)</f>
        <v>3.142972440330561E-2</v>
      </c>
      <c r="AV23" s="54">
        <f>(1-BS23)/SUM($BL23:BS23)</f>
        <v>3.1736785894809813E-2</v>
      </c>
      <c r="AW23" s="54">
        <f>(1-BT23)/SUM($BL23:BT23)</f>
        <v>3.2069064609041346E-2</v>
      </c>
      <c r="AX23" s="54">
        <f>(1-BU23)/SUM($BL23:BU23)</f>
        <v>3.2417022937320225E-2</v>
      </c>
      <c r="AY23" s="54">
        <f>(1-BV23)/SUM($BL23:BV23)</f>
        <v>3.2774514842924582E-2</v>
      </c>
      <c r="AZ23" s="54">
        <f>(1-BW23)/SUM($BL23:BW23)</f>
        <v>3.3137379424370957E-2</v>
      </c>
      <c r="BA23" s="54">
        <f>(1-BX23)/SUM($BL23:BX23)</f>
        <v>3.350268212339489E-2</v>
      </c>
      <c r="BB23" s="54">
        <f>(1-BY23)/SUM($BL23:BY23)</f>
        <v>3.3868280531455526E-2</v>
      </c>
      <c r="BC23" s="54">
        <f>(1-BZ23)/SUM($BL23:BZ23)</f>
        <v>3.4232563653208502E-2</v>
      </c>
      <c r="BD23" s="54">
        <f>(1-CA23)/SUM($BL23:CA23)</f>
        <v>3.4594288896406415E-2</v>
      </c>
      <c r="BE23" s="54">
        <f>(1-CB23)/SUM($BL23:CB23)</f>
        <v>3.4952476623993471E-2</v>
      </c>
      <c r="BF23" s="54">
        <f>(1-CC23)/SUM($BL23:CC23)</f>
        <v>3.5306339920409054E-2</v>
      </c>
      <c r="BG23" s="54">
        <f>(1-CD23)/SUM($BL23:CD23)</f>
        <v>3.565523661597024E-2</v>
      </c>
      <c r="BH23" s="54">
        <f>(1-CE23)/SUM($BL23:CE23)</f>
        <v>3.5998635785775765E-2</v>
      </c>
      <c r="BI23" s="14"/>
      <c r="BJ23" s="47"/>
      <c r="BK23" s="47"/>
      <c r="BL23" s="6">
        <f t="shared" si="22"/>
        <v>0.97304212557231085</v>
      </c>
      <c r="BM23" s="5">
        <f t="shared" si="2"/>
        <v>0.9456722906352627</v>
      </c>
      <c r="BN23" s="5">
        <f t="shared" si="2"/>
        <v>0.91793917875701858</v>
      </c>
      <c r="BO23" s="5">
        <f t="shared" si="2"/>
        <v>0.88989116010112124</v>
      </c>
      <c r="BP23" s="5">
        <f t="shared" si="2"/>
        <v>0.86157617985063484</v>
      </c>
      <c r="BQ23" s="5">
        <f t="shared" si="2"/>
        <v>0.8330416503344078</v>
      </c>
      <c r="BR23" s="5">
        <f t="shared" si="2"/>
        <v>0.80433434714129337</v>
      </c>
      <c r="BS23" s="5">
        <f t="shared" si="2"/>
        <v>0.77773977601462474</v>
      </c>
      <c r="BT23" s="5">
        <f t="shared" si="2"/>
        <v>0.75131866278680759</v>
      </c>
      <c r="BU23" s="5">
        <f t="shared" ref="BU23:BU30" si="27">1/(1+AC23)^AC$9</f>
        <v>0.72511435207975172</v>
      </c>
      <c r="BV23" s="5">
        <f t="shared" ref="BV23:BV30" si="28">1/(1+AD23)^AD$9</f>
        <v>0.69916804531268406</v>
      </c>
      <c r="BW23" s="5">
        <f t="shared" ref="BW23:BW30" si="29">1/(1+AE23)^AE$9</f>
        <v>0.67351872465917251</v>
      </c>
      <c r="BX23" s="5">
        <f t="shared" ref="BX23:BX30" si="30">1/(1+AF23)^AF$9</f>
        <v>0.64820309015943045</v>
      </c>
      <c r="BY23" s="5">
        <f t="shared" ref="BY23:BY30" si="31">1/(1+AG23)^AG$9</f>
        <v>0.62325550984189138</v>
      </c>
      <c r="BZ23" s="5">
        <f t="shared" ref="BZ23:BZ30" si="32">1/(1+AH23)^AH$9</f>
        <v>0.59870798262889302</v>
      </c>
      <c r="CA23" s="5">
        <f t="shared" ref="CA23:CA30" si="33">1/(1+AI23)^AI$9</f>
        <v>0.57459011372708513</v>
      </c>
      <c r="CB23" s="5">
        <f t="shared" ref="CB23:CB30" si="34">1/(1+AJ23)^AJ$9</f>
        <v>0.55092910213400414</v>
      </c>
      <c r="CC23" s="5">
        <f t="shared" ref="CC23:CC30" si="35">1/(1+AK23)^AK$9</f>
        <v>0.52774973982885831</v>
      </c>
      <c r="CD23" s="5">
        <f t="shared" ref="CD23:CD30" si="36">1/(1+AL23)^AL$9</f>
        <v>0.50507442215782006</v>
      </c>
      <c r="CE23" s="5">
        <f t="shared" ref="CE23:CE30" si="37">1/(1+AM23)^AM$9</f>
        <v>0.48292316887267023</v>
      </c>
    </row>
    <row r="24" spans="1:83" ht="14.25" customHeight="1">
      <c r="A24" s="56"/>
      <c r="B24" s="6"/>
      <c r="C24" s="6"/>
      <c r="D24" s="6"/>
      <c r="E24" s="6"/>
      <c r="F24" s="6"/>
      <c r="G24" s="6"/>
      <c r="H24" s="6"/>
      <c r="I24" s="6"/>
      <c r="J24" s="6"/>
      <c r="K24" s="14"/>
      <c r="M24" s="24"/>
      <c r="N24" s="42">
        <f t="shared" si="25"/>
        <v>14</v>
      </c>
      <c r="O24" s="50">
        <f t="shared" si="26"/>
        <v>1.9999999999999997E-2</v>
      </c>
      <c r="P24" s="51">
        <f t="shared" si="23"/>
        <v>11.601862134721292</v>
      </c>
      <c r="Q24" s="52">
        <f t="shared" si="3"/>
        <v>2.0479504312485464E-2</v>
      </c>
      <c r="R24" s="44">
        <f t="shared" si="24"/>
        <v>2.0479504312485464E-2</v>
      </c>
      <c r="S24" s="6"/>
      <c r="T24" s="53">
        <f t="shared" si="0"/>
        <v>2.8942198273211872E-2</v>
      </c>
      <c r="U24" s="53">
        <f t="shared" si="4"/>
        <v>2.9577084872757231E-2</v>
      </c>
      <c r="V24" s="53">
        <f t="shared" si="5"/>
        <v>3.0223810978211585E-2</v>
      </c>
      <c r="W24" s="53">
        <f t="shared" si="6"/>
        <v>3.0883265599367826E-2</v>
      </c>
      <c r="X24" s="53">
        <f t="shared" si="7"/>
        <v>3.1556417745548515E-2</v>
      </c>
      <c r="Y24" s="53">
        <f t="shared" si="8"/>
        <v>3.2244326714568894E-2</v>
      </c>
      <c r="Z24" s="53">
        <f t="shared" si="9"/>
        <v>3.252272479393703E-2</v>
      </c>
      <c r="AA24" s="53">
        <f t="shared" si="10"/>
        <v>3.2852804753313203E-2</v>
      </c>
      <c r="AB24" s="53">
        <f t="shared" si="11"/>
        <v>3.3217331064395283E-2</v>
      </c>
      <c r="AC24" s="53">
        <f t="shared" si="12"/>
        <v>3.3605965315400388E-2</v>
      </c>
      <c r="AD24" s="53">
        <f t="shared" si="13"/>
        <v>3.4012129957358583E-2</v>
      </c>
      <c r="AE24" s="53">
        <f t="shared" si="14"/>
        <v>3.4431440727729301E-2</v>
      </c>
      <c r="AF24" s="53">
        <f t="shared" si="15"/>
        <v>3.4860862805270454E-2</v>
      </c>
      <c r="AG24" s="53">
        <f t="shared" si="16"/>
        <v>3.5298228721654334E-2</v>
      </c>
      <c r="AH24" s="53">
        <f t="shared" si="17"/>
        <v>3.5741949162604758E-2</v>
      </c>
      <c r="AI24" s="53">
        <f t="shared" si="18"/>
        <v>3.6190832247169347E-2</v>
      </c>
      <c r="AJ24" s="53">
        <f t="shared" si="19"/>
        <v>3.6643966606586531E-2</v>
      </c>
      <c r="AK24" s="53">
        <f t="shared" si="20"/>
        <v>3.7100643445988846E-2</v>
      </c>
      <c r="AL24" s="53">
        <f t="shared" si="21"/>
        <v>3.7560303223657776E-2</v>
      </c>
      <c r="AM24" s="53">
        <f t="shared" si="1"/>
        <v>3.8022498329873811E-2</v>
      </c>
      <c r="AN24" s="6"/>
      <c r="AO24" s="54">
        <f>(1-BL24)/SUM($BL24:BL24)</f>
        <v>2.8942198273211862E-2</v>
      </c>
      <c r="AP24" s="54">
        <f>(1-BM24)/SUM($BL24:BM24)</f>
        <v>2.9567829840230424E-2</v>
      </c>
      <c r="AQ24" s="54">
        <f>(1-BN24)/SUM($BL24:BN24)</f>
        <v>3.0198251703317861E-2</v>
      </c>
      <c r="AR24" s="54">
        <f>(1-BO24)/SUM($BL24:BO24)</f>
        <v>3.0833614313902555E-2</v>
      </c>
      <c r="AS24" s="54">
        <f>(1-BP24)/SUM($BL24:BP24)</f>
        <v>3.1474074613533312E-2</v>
      </c>
      <c r="AT24" s="54">
        <f>(1-BQ24)/SUM($BL24:BQ24)</f>
        <v>3.2119796292577052E-2</v>
      </c>
      <c r="AU24" s="54">
        <f>(1-BR24)/SUM($BL24:BR24)</f>
        <v>3.2387404232963914E-2</v>
      </c>
      <c r="AV24" s="54">
        <f>(1-BS24)/SUM($BL24:BS24)</f>
        <v>3.2695278288908551E-2</v>
      </c>
      <c r="AW24" s="54">
        <f>(1-BT24)/SUM($BL24:BT24)</f>
        <v>3.3027850424935404E-2</v>
      </c>
      <c r="AX24" s="54">
        <f>(1-BU24)/SUM($BL24:BU24)</f>
        <v>3.3375688619884422E-2</v>
      </c>
      <c r="AY24" s="54">
        <f>(1-BV24)/SUM($BL24:BV24)</f>
        <v>3.3732717247136113E-2</v>
      </c>
      <c r="AZ24" s="54">
        <f>(1-BW24)/SUM($BL24:BW24)</f>
        <v>3.4094824475586927E-2</v>
      </c>
      <c r="BA24" s="54">
        <f>(1-BX24)/SUM($BL24:BX24)</f>
        <v>3.4459111325249848E-2</v>
      </c>
      <c r="BB24" s="54">
        <f>(1-BY24)/SUM($BL24:BY24)</f>
        <v>3.4823462144269055E-2</v>
      </c>
      <c r="BC24" s="54">
        <f>(1-BZ24)/SUM($BL24:BZ24)</f>
        <v>3.5186286768446269E-2</v>
      </c>
      <c r="BD24" s="54">
        <f>(1-CA24)/SUM($BL24:CA24)</f>
        <v>3.554635937109725E-2</v>
      </c>
      <c r="BE24" s="54">
        <f>(1-CB24)/SUM($BL24:CB24)</f>
        <v>3.5902714246321091E-2</v>
      </c>
      <c r="BF24" s="54">
        <f>(1-CC24)/SUM($BL24:CC24)</f>
        <v>3.6254576411758013E-2</v>
      </c>
      <c r="BG24" s="54">
        <f>(1-CD24)/SUM($BL24:CD24)</f>
        <v>3.6601314214056185E-2</v>
      </c>
      <c r="BH24" s="54">
        <f>(1-CE24)/SUM($BL24:CE24)</f>
        <v>3.694240623912045E-2</v>
      </c>
      <c r="BI24" s="14"/>
      <c r="BJ24" s="47"/>
      <c r="BK24" s="47"/>
      <c r="BL24" s="6">
        <f t="shared" si="22"/>
        <v>0.97187189103354577</v>
      </c>
      <c r="BM24" s="5">
        <f t="shared" ref="BM24:BM30" si="38">1/(1+U24)^U$9</f>
        <v>0.94337044063443498</v>
      </c>
      <c r="BN24" s="5">
        <f t="shared" ref="BN24:BN30" si="39">1/(1+V24)^V$9</f>
        <v>0.91454535904878453</v>
      </c>
      <c r="BO24" s="5">
        <f t="shared" ref="BO24:BO30" si="40">1/(1+W24)^W$9</f>
        <v>0.88544591976825715</v>
      </c>
      <c r="BP24" s="5">
        <f t="shared" ref="BP24:BP30" si="41">1/(1+X24)^X$9</f>
        <v>0.85612084866771843</v>
      </c>
      <c r="BQ24" s="5">
        <f t="shared" ref="BQ24:BQ30" si="42">1/(1+Y24)^Y$9</f>
        <v>0.82661821724132567</v>
      </c>
      <c r="BR24" s="5">
        <f t="shared" ref="BR24:BR30" si="43">1/(1+Z24)^Z$9</f>
        <v>0.79928685056382798</v>
      </c>
      <c r="BS24" s="5">
        <f t="shared" ref="BS24:BS30" si="44">1/(1+AA24)^AA$9</f>
        <v>0.77213374739033702</v>
      </c>
      <c r="BT24" s="5">
        <f t="shared" ref="BT24:BT30" si="45">1/(1+AB24)^AB$9</f>
        <v>0.7452034531940378</v>
      </c>
      <c r="BU24" s="5">
        <f t="shared" si="27"/>
        <v>0.71853831086856301</v>
      </c>
      <c r="BV24" s="5">
        <f t="shared" si="28"/>
        <v>0.69217838257827802</v>
      </c>
      <c r="BW24" s="5">
        <f t="shared" si="29"/>
        <v>0.66616138512829548</v>
      </c>
      <c r="BX24" s="5">
        <f t="shared" si="30"/>
        <v>0.64052263870417125</v>
      </c>
      <c r="BY24" s="5">
        <f t="shared" si="31"/>
        <v>0.61529502874991471</v>
      </c>
      <c r="BZ24" s="5">
        <f t="shared" si="32"/>
        <v>0.59050898067658608</v>
      </c>
      <c r="CA24" s="5">
        <f t="shared" si="33"/>
        <v>0.56619244702274807</v>
      </c>
      <c r="CB24" s="5">
        <f t="shared" si="34"/>
        <v>0.54237090662283061</v>
      </c>
      <c r="CC24" s="5">
        <f t="shared" si="35"/>
        <v>0.51906737528013192</v>
      </c>
      <c r="CD24" s="5">
        <f t="shared" si="36"/>
        <v>0.4963024273883625</v>
      </c>
      <c r="CE24" s="5">
        <f t="shared" si="37"/>
        <v>0.47409422789898265</v>
      </c>
    </row>
    <row r="25" spans="1:83" ht="14.25" customHeight="1">
      <c r="A25" s="24"/>
      <c r="B25" s="6"/>
      <c r="C25" s="6"/>
      <c r="D25" s="6"/>
      <c r="E25" s="6"/>
      <c r="F25" s="6"/>
      <c r="G25" s="6"/>
      <c r="H25" s="6"/>
      <c r="I25" s="6"/>
      <c r="J25" s="6"/>
      <c r="K25" s="14"/>
      <c r="M25" s="24"/>
      <c r="N25" s="42">
        <f t="shared" si="25"/>
        <v>15</v>
      </c>
      <c r="O25" s="50">
        <f t="shared" si="26"/>
        <v>2.0499999999999997E-2</v>
      </c>
      <c r="P25" s="51">
        <f t="shared" si="23"/>
        <v>12.354766798746365</v>
      </c>
      <c r="Q25" s="52">
        <f t="shared" si="3"/>
        <v>2.1041512132083051E-2</v>
      </c>
      <c r="R25" s="44">
        <f t="shared" si="24"/>
        <v>2.1041512132083051E-2</v>
      </c>
      <c r="S25" s="6"/>
      <c r="T25" s="53">
        <f t="shared" si="0"/>
        <v>3.0212363215390559E-2</v>
      </c>
      <c r="U25" s="53">
        <f t="shared" si="4"/>
        <v>3.0865215830185422E-2</v>
      </c>
      <c r="V25" s="53">
        <f t="shared" si="5"/>
        <v>3.1531101425649855E-2</v>
      </c>
      <c r="W25" s="53">
        <f t="shared" si="6"/>
        <v>3.2211009753921216E-2</v>
      </c>
      <c r="X25" s="53">
        <f t="shared" si="7"/>
        <v>3.2906022997130746E-2</v>
      </c>
      <c r="Y25" s="53">
        <f t="shared" si="8"/>
        <v>3.3120689391421321E-2</v>
      </c>
      <c r="Z25" s="53">
        <f t="shared" si="9"/>
        <v>3.3412674787081986E-2</v>
      </c>
      <c r="AA25" s="53">
        <f t="shared" si="10"/>
        <v>3.3752970090432211E-2</v>
      </c>
      <c r="AB25" s="53">
        <f t="shared" si="11"/>
        <v>3.4125464776113557E-2</v>
      </c>
      <c r="AC25" s="53">
        <f t="shared" si="12"/>
        <v>3.4520495065330392E-2</v>
      </c>
      <c r="AD25" s="53">
        <f t="shared" si="13"/>
        <v>3.4931912538209264E-2</v>
      </c>
      <c r="AE25" s="53">
        <f t="shared" si="14"/>
        <v>3.5355618920551279E-2</v>
      </c>
      <c r="AF25" s="53">
        <f t="shared" si="15"/>
        <v>3.5788777327544929E-2</v>
      </c>
      <c r="AG25" s="53">
        <f t="shared" si="16"/>
        <v>3.6229361640906843E-2</v>
      </c>
      <c r="AH25" s="53">
        <f t="shared" si="17"/>
        <v>3.6675886182457651E-2</v>
      </c>
      <c r="AI25" s="53">
        <f t="shared" si="18"/>
        <v>3.7127236785040374E-2</v>
      </c>
      <c r="AJ25" s="53">
        <f t="shared" si="19"/>
        <v>3.7582561499273304E-2</v>
      </c>
      <c r="AK25" s="53">
        <f t="shared" si="20"/>
        <v>3.8041197739349109E-2</v>
      </c>
      <c r="AL25" s="53">
        <f t="shared" si="21"/>
        <v>3.8502622440191647E-2</v>
      </c>
      <c r="AM25" s="53">
        <f t="shared" si="1"/>
        <v>3.8966417170406942E-2</v>
      </c>
      <c r="AN25" s="6"/>
      <c r="AO25" s="54">
        <f>(1-BL25)/SUM($BL25:BL25)</f>
        <v>3.0212363215390552E-2</v>
      </c>
      <c r="AP25" s="54">
        <f>(1-BM25)/SUM($BL25:BM25)</f>
        <v>3.0855290640477578E-2</v>
      </c>
      <c r="AQ25" s="54">
        <f>(1-BN25)/SUM($BL25:BN25)</f>
        <v>3.1503673267908955E-2</v>
      </c>
      <c r="AR25" s="54">
        <f>(1-BO25)/SUM($BL25:BO25)</f>
        <v>3.2157689383202001E-2</v>
      </c>
      <c r="AS25" s="54">
        <f>(1-BP25)/SUM($BL25:BP25)</f>
        <v>3.2817525139204058E-2</v>
      </c>
      <c r="AT25" s="54">
        <f>(1-BQ25)/SUM($BL25:BQ25)</f>
        <v>3.3028179437483561E-2</v>
      </c>
      <c r="AU25" s="54">
        <f>(1-BR25)/SUM($BL25:BR25)</f>
        <v>3.3303448354329648E-2</v>
      </c>
      <c r="AV25" s="54">
        <f>(1-BS25)/SUM($BL25:BS25)</f>
        <v>3.3616741500736236E-2</v>
      </c>
      <c r="AW25" s="54">
        <f>(1-BT25)/SUM($BL25:BT25)</f>
        <v>3.3953175911512028E-2</v>
      </c>
      <c r="AX25" s="54">
        <f>(1-BU25)/SUM($BL25:BU25)</f>
        <v>3.4303736333630437E-2</v>
      </c>
      <c r="AY25" s="54">
        <f>(1-BV25)/SUM($BL25:BV25)</f>
        <v>3.4662615635722635E-2</v>
      </c>
      <c r="AZ25" s="54">
        <f>(1-BW25)/SUM($BL25:BW25)</f>
        <v>3.5025883160366256E-2</v>
      </c>
      <c r="BA25" s="54">
        <f>(1-BX25)/SUM($BL25:BX25)</f>
        <v>3.5390767001987559E-2</v>
      </c>
      <c r="BB25" s="54">
        <f>(1-BY25)/SUM($BL25:BY25)</f>
        <v>3.575524365660844E-2</v>
      </c>
      <c r="BC25" s="54">
        <f>(1-BZ25)/SUM($BL25:BZ25)</f>
        <v>3.611779177977667E-2</v>
      </c>
      <c r="BD25" s="54">
        <f>(1-CA25)/SUM($BL25:CA25)</f>
        <v>3.6477238335733748E-2</v>
      </c>
      <c r="BE25" s="54">
        <f>(1-CB25)/SUM($BL25:CB25)</f>
        <v>3.6832659131538034E-2</v>
      </c>
      <c r="BF25" s="54">
        <f>(1-CC25)/SUM($BL25:CC25)</f>
        <v>3.718331260264765E-2</v>
      </c>
      <c r="BG25" s="54">
        <f>(1-CD25)/SUM($BL25:CD25)</f>
        <v>3.7528594604727045E-2</v>
      </c>
      <c r="BH25" s="54">
        <f>(1-CE25)/SUM($BL25:CE25)</f>
        <v>3.78680068586928E-2</v>
      </c>
      <c r="BI25" s="14"/>
      <c r="BJ25" s="47"/>
      <c r="BK25" s="47"/>
      <c r="BL25" s="6">
        <f t="shared" si="22"/>
        <v>0.97067365497236424</v>
      </c>
      <c r="BM25" s="5">
        <f t="shared" si="38"/>
        <v>0.94101431216022036</v>
      </c>
      <c r="BN25" s="5">
        <f t="shared" si="39"/>
        <v>0.91107267113839685</v>
      </c>
      <c r="BO25" s="5">
        <f t="shared" si="40"/>
        <v>0.88089886801568995</v>
      </c>
      <c r="BP25" s="5">
        <f t="shared" si="41"/>
        <v>0.8505423655809734</v>
      </c>
      <c r="BQ25" s="5">
        <f t="shared" si="42"/>
        <v>0.82241996907001769</v>
      </c>
      <c r="BR25" s="5">
        <f t="shared" si="43"/>
        <v>0.79448099540074657</v>
      </c>
      <c r="BS25" s="5">
        <f t="shared" si="44"/>
        <v>0.7667712792902619</v>
      </c>
      <c r="BT25" s="5">
        <f t="shared" si="45"/>
        <v>0.73933438912861948</v>
      </c>
      <c r="BU25" s="5">
        <f t="shared" si="27"/>
        <v>0.71221154656728924</v>
      </c>
      <c r="BV25" s="5">
        <f t="shared" si="28"/>
        <v>0.68544156001863554</v>
      </c>
      <c r="BW25" s="5">
        <f t="shared" si="29"/>
        <v>0.65906077191202794</v>
      </c>
      <c r="BX25" s="5">
        <f t="shared" si="30"/>
        <v>0.6331030194685171</v>
      </c>
      <c r="BY25" s="5">
        <f t="shared" si="31"/>
        <v>0.60759960867744078</v>
      </c>
      <c r="BZ25" s="5">
        <f t="shared" si="32"/>
        <v>0.58257930108527634</v>
      </c>
      <c r="CA25" s="5">
        <f t="shared" si="33"/>
        <v>0.55806831293993009</v>
      </c>
      <c r="CB25" s="5">
        <f t="shared" si="34"/>
        <v>0.53409032617264618</v>
      </c>
      <c r="CC25" s="5">
        <f t="shared" si="35"/>
        <v>0.51066651064531454</v>
      </c>
      <c r="CD25" s="5">
        <f t="shared" si="36"/>
        <v>0.48781555704302038</v>
      </c>
      <c r="CE25" s="5">
        <f t="shared" si="37"/>
        <v>0.46555371975064147</v>
      </c>
    </row>
    <row r="26" spans="1:83" ht="14.25" customHeight="1">
      <c r="A26" s="49"/>
      <c r="B26" s="22"/>
      <c r="C26" s="6"/>
      <c r="D26" s="6"/>
      <c r="E26" s="6"/>
      <c r="F26" s="6"/>
      <c r="G26" s="6"/>
      <c r="H26" s="6"/>
      <c r="I26" s="6"/>
      <c r="J26" s="6"/>
      <c r="K26" s="14"/>
      <c r="M26" s="24"/>
      <c r="N26" s="42">
        <f t="shared" si="25"/>
        <v>16</v>
      </c>
      <c r="O26" s="50">
        <f t="shared" si="26"/>
        <v>2.1000000000000001E-2</v>
      </c>
      <c r="P26" s="51">
        <f t="shared" si="23"/>
        <v>13.086493678340387</v>
      </c>
      <c r="Q26" s="52">
        <f t="shared" si="3"/>
        <v>2.1612291010203899E-2</v>
      </c>
      <c r="R26" s="44">
        <f t="shared" si="24"/>
        <v>2.1612291010203899E-2</v>
      </c>
      <c r="S26" s="6"/>
      <c r="T26" s="53">
        <f t="shared" si="0"/>
        <v>3.1518482162143924E-2</v>
      </c>
      <c r="U26" s="53">
        <f t="shared" si="4"/>
        <v>3.219110342199949E-2</v>
      </c>
      <c r="V26" s="53">
        <f t="shared" si="5"/>
        <v>3.2878086549216645E-2</v>
      </c>
      <c r="W26" s="53">
        <f t="shared" si="6"/>
        <v>3.3580537695427459E-2</v>
      </c>
      <c r="X26" s="53">
        <f t="shared" si="7"/>
        <v>3.3703339122872045E-2</v>
      </c>
      <c r="Y26" s="53">
        <f t="shared" si="8"/>
        <v>3.3947025763917615E-2</v>
      </c>
      <c r="Z26" s="53">
        <f t="shared" si="9"/>
        <v>3.4259763426505829E-2</v>
      </c>
      <c r="AA26" s="53">
        <f t="shared" si="10"/>
        <v>3.4615646391827459E-2</v>
      </c>
      <c r="AB26" s="53">
        <f t="shared" si="11"/>
        <v>3.5000287087219251E-2</v>
      </c>
      <c r="AC26" s="53">
        <f t="shared" si="12"/>
        <v>3.5405054990696128E-2</v>
      </c>
      <c r="AD26" s="53">
        <f t="shared" si="13"/>
        <v>3.5824458954244909E-2</v>
      </c>
      <c r="AE26" s="53">
        <f t="shared" si="14"/>
        <v>3.6254838748479123E-2</v>
      </c>
      <c r="AF26" s="53">
        <f t="shared" si="15"/>
        <v>3.6693660672899808E-2</v>
      </c>
      <c r="AG26" s="53">
        <f t="shared" si="16"/>
        <v>3.7139115123206112E-2</v>
      </c>
      <c r="AH26" s="53">
        <f t="shared" si="17"/>
        <v>3.7589875169371512E-2</v>
      </c>
      <c r="AI26" s="53">
        <f t="shared" si="18"/>
        <v>3.8044945686817266E-2</v>
      </c>
      <c r="AJ26" s="53">
        <f t="shared" si="19"/>
        <v>3.8503565746407675E-2</v>
      </c>
      <c r="AK26" s="53">
        <f t="shared" si="20"/>
        <v>3.8965143547464942E-2</v>
      </c>
      <c r="AL26" s="53">
        <f t="shared" si="21"/>
        <v>3.9429211902050287E-2</v>
      </c>
      <c r="AM26" s="53">
        <f t="shared" ref="AM26:AM54" si="46">((1+$R46)^$N46/(1+$R26)^$N26)^(1/($N46-$N26))-1</f>
        <v>3.9895397076306072E-2</v>
      </c>
      <c r="AN26" s="6"/>
      <c r="AO26" s="54">
        <f>(1-BL26)/SUM($BL26:BL26)</f>
        <v>3.1518482162143924E-2</v>
      </c>
      <c r="AP26" s="54">
        <f>(1-BM26)/SUM($BL26:BM26)</f>
        <v>3.2180445287627202E-2</v>
      </c>
      <c r="AQ26" s="54">
        <f>(1-BN26)/SUM($BL26:BN26)</f>
        <v>3.2848610216368722E-2</v>
      </c>
      <c r="AR26" s="54">
        <f>(1-BO26)/SUM($BL26:BO26)</f>
        <v>3.3523187797156843E-2</v>
      </c>
      <c r="AS26" s="54">
        <f>(1-BP26)/SUM($BL26:BP26)</f>
        <v>3.3648531404566737E-2</v>
      </c>
      <c r="AT26" s="54">
        <f>(1-BQ26)/SUM($BL26:BQ26)</f>
        <v>3.388040744847455E-2</v>
      </c>
      <c r="AU26" s="54">
        <f>(1-BR26)/SUM($BL26:BR26)</f>
        <v>3.4170525529768438E-2</v>
      </c>
      <c r="AV26" s="54">
        <f>(1-BS26)/SUM($BL26:BS26)</f>
        <v>3.449460429645921E-2</v>
      </c>
      <c r="AW26" s="54">
        <f>(1-BT26)/SUM($BL26:BT26)</f>
        <v>3.4839054281753039E-2</v>
      </c>
      <c r="AX26" s="54">
        <f>(1-BU26)/SUM($BL26:BU26)</f>
        <v>3.5195641622490129E-2</v>
      </c>
      <c r="AY26" s="54">
        <f>(1-BV26)/SUM($BL26:BV26)</f>
        <v>3.5559059513468348E-2</v>
      </c>
      <c r="AZ26" s="54">
        <f>(1-BW26)/SUM($BL26:BW26)</f>
        <v>3.5925712932642177E-2</v>
      </c>
      <c r="BA26" s="54">
        <f>(1-BX26)/SUM($BL26:BX26)</f>
        <v>3.6293063946337759E-2</v>
      </c>
      <c r="BB26" s="54">
        <f>(1-BY26)/SUM($BL26:BY26)</f>
        <v>3.6659257545494948E-2</v>
      </c>
      <c r="BC26" s="54">
        <f>(1-BZ26)/SUM($BL26:BZ26)</f>
        <v>3.7022897201264157E-2</v>
      </c>
      <c r="BD26" s="54">
        <f>(1-CA26)/SUM($BL26:CA26)</f>
        <v>3.7382904683132843E-2</v>
      </c>
      <c r="BE26" s="54">
        <f>(1-CB26)/SUM($BL26:CB26)</f>
        <v>3.773842946258215E-2</v>
      </c>
      <c r="BF26" s="54">
        <f>(1-CC26)/SUM($BL26:CC26)</f>
        <v>3.808878842551109E-2</v>
      </c>
      <c r="BG26" s="54">
        <f>(1-CD26)/SUM($BL26:CD26)</f>
        <v>3.8433424726667532E-2</v>
      </c>
      <c r="BH26" s="54">
        <f>(1-CE26)/SUM($BL26:CE26)</f>
        <v>3.8771879082035179E-2</v>
      </c>
      <c r="BI26" s="14"/>
      <c r="BJ26" s="47"/>
      <c r="BK26" s="47"/>
      <c r="BL26" s="6">
        <f t="shared" si="22"/>
        <v>0.96944457835008568</v>
      </c>
      <c r="BM26" s="5">
        <f t="shared" si="38"/>
        <v>0.93859832959444589</v>
      </c>
      <c r="BN26" s="5">
        <f t="shared" si="39"/>
        <v>0.90751290457220635</v>
      </c>
      <c r="BO26" s="5">
        <f t="shared" si="40"/>
        <v>0.87623926045998302</v>
      </c>
      <c r="BP26" s="5">
        <f t="shared" si="41"/>
        <v>0.84726721989115072</v>
      </c>
      <c r="BQ26" s="5">
        <f t="shared" si="42"/>
        <v>0.81848414380151813</v>
      </c>
      <c r="BR26" s="5">
        <f t="shared" si="43"/>
        <v>0.78993725168330908</v>
      </c>
      <c r="BS26" s="5">
        <f t="shared" si="44"/>
        <v>0.76167142823060252</v>
      </c>
      <c r="BT26" s="5">
        <f t="shared" si="45"/>
        <v>0.73372914049837568</v>
      </c>
      <c r="BU26" s="5">
        <f t="shared" si="27"/>
        <v>0.70615036939284204</v>
      </c>
      <c r="BV26" s="5">
        <f t="shared" si="28"/>
        <v>0.67897255533404943</v>
      </c>
      <c r="BW26" s="5">
        <f t="shared" si="29"/>
        <v>0.65223055784546036</v>
      </c>
      <c r="BX26" s="5">
        <f t="shared" si="30"/>
        <v>0.62595662874433222</v>
      </c>
      <c r="BY26" s="5">
        <f t="shared" si="31"/>
        <v>0.60018039853143323</v>
      </c>
      <c r="BZ26" s="5">
        <f t="shared" si="32"/>
        <v>0.57492887550947136</v>
      </c>
      <c r="CA26" s="5">
        <f t="shared" si="33"/>
        <v>0.55022645709679951</v>
      </c>
      <c r="CB26" s="5">
        <f t="shared" si="34"/>
        <v>0.52609495274686613</v>
      </c>
      <c r="CC26" s="5">
        <f t="shared" si="35"/>
        <v>0.50255361783452346</v>
      </c>
      <c r="CD26" s="5">
        <f t="shared" si="36"/>
        <v>0.47961919782802387</v>
      </c>
      <c r="CE26" s="5">
        <f t="shared" si="37"/>
        <v>0.45730598203005934</v>
      </c>
    </row>
    <row r="27" spans="1:83" ht="14.25" customHeight="1">
      <c r="A27" s="49"/>
      <c r="B27" s="22" t="str">
        <f>INDEX(Équivalences!$C$2:$D$397,MATCH("A sample process is outlined below; sample 1- and 20-year rates are illustrated at right.",Équivalences!$C$2:$C$397,0), langue)</f>
        <v>Un exemple du procédé est décrit ci­dessous; un exemple des taux 1 an et 20 ans est illustré ci­contre.</v>
      </c>
      <c r="C27" s="6"/>
      <c r="D27" s="6"/>
      <c r="E27" s="6"/>
      <c r="F27" s="6"/>
      <c r="G27" s="6"/>
      <c r="H27" s="6"/>
      <c r="I27" s="6"/>
      <c r="J27" s="6"/>
      <c r="K27" s="14"/>
      <c r="M27" s="24"/>
      <c r="N27" s="42">
        <f t="shared" si="25"/>
        <v>17</v>
      </c>
      <c r="O27" s="50">
        <f t="shared" si="26"/>
        <v>2.1499999999999998E-2</v>
      </c>
      <c r="P27" s="51">
        <f t="shared" si="23"/>
        <v>13.79676168299744</v>
      </c>
      <c r="Q27" s="52">
        <f t="shared" si="3"/>
        <v>2.219236569534222E-2</v>
      </c>
      <c r="R27" s="44">
        <f t="shared" si="24"/>
        <v>2.219236569534222E-2</v>
      </c>
      <c r="S27" s="6"/>
      <c r="T27" s="53">
        <f t="shared" si="0"/>
        <v>3.2864163277350089E-2</v>
      </c>
      <c r="U27" s="53">
        <f t="shared" si="4"/>
        <v>3.3558560610820853E-2</v>
      </c>
      <c r="V27" s="53">
        <f t="shared" si="5"/>
        <v>3.4268805166403515E-2</v>
      </c>
      <c r="W27" s="53">
        <f t="shared" si="6"/>
        <v>3.4250276064982987E-2</v>
      </c>
      <c r="X27" s="53">
        <f t="shared" si="7"/>
        <v>3.4433420167592876E-2</v>
      </c>
      <c r="Y27" s="53">
        <f t="shared" si="8"/>
        <v>3.4717351379937034E-2</v>
      </c>
      <c r="Z27" s="53">
        <f t="shared" si="9"/>
        <v>3.505885690293864E-2</v>
      </c>
      <c r="AA27" s="53">
        <f t="shared" si="10"/>
        <v>3.5436338241293663E-2</v>
      </c>
      <c r="AB27" s="53">
        <f t="shared" si="11"/>
        <v>3.5837799352864241E-2</v>
      </c>
      <c r="AC27" s="53">
        <f t="shared" si="12"/>
        <v>3.6256044017044964E-2</v>
      </c>
      <c r="AD27" s="53">
        <f t="shared" si="13"/>
        <v>3.6686493517224417E-2</v>
      </c>
      <c r="AE27" s="53">
        <f t="shared" si="14"/>
        <v>3.7126095748112098E-2</v>
      </c>
      <c r="AF27" s="53">
        <f t="shared" si="15"/>
        <v>3.7572737925339439E-2</v>
      </c>
      <c r="AG27" s="53">
        <f t="shared" si="16"/>
        <v>3.802491104356065E-2</v>
      </c>
      <c r="AH27" s="53">
        <f t="shared" si="17"/>
        <v>3.8481508577504098E-2</v>
      </c>
      <c r="AI27" s="53">
        <f t="shared" si="18"/>
        <v>3.8941700683938096E-2</v>
      </c>
      <c r="AJ27" s="53">
        <f t="shared" si="19"/>
        <v>3.940485281058681E-2</v>
      </c>
      <c r="AK27" s="53">
        <f t="shared" si="20"/>
        <v>3.9870471439820809E-2</v>
      </c>
      <c r="AL27" s="53">
        <f t="shared" ref="AL27:AL54" si="47">((1+$R46)^$N46/(1+$R27)^$N27)^(1/($N46-$N27))-1</f>
        <v>4.0338166968557632E-2</v>
      </c>
      <c r="AM27" s="53">
        <f t="shared" si="46"/>
        <v>4.0807627725823359E-2</v>
      </c>
      <c r="AN27" s="6"/>
      <c r="AO27" s="54">
        <f>(1-BL27)/SUM($BL27:BL27)</f>
        <v>3.2864163277350096E-2</v>
      </c>
      <c r="AP27" s="54">
        <f>(1-BM27)/SUM($BL27:BM27)</f>
        <v>3.3547097613452224E-2</v>
      </c>
      <c r="AQ27" s="54">
        <f>(1-BN27)/SUM($BL27:BN27)</f>
        <v>3.4237074937290737E-2</v>
      </c>
      <c r="AR27" s="54">
        <f>(1-BO27)/SUM($BL27:BO27)</f>
        <v>3.4227014831877907E-2</v>
      </c>
      <c r="AS27" s="54">
        <f>(1-BP27)/SUM($BL27:BP27)</f>
        <v>3.4402217501484061E-2</v>
      </c>
      <c r="AT27" s="54">
        <f>(1-BQ27)/SUM($BL27:BQ27)</f>
        <v>3.4667047284369847E-2</v>
      </c>
      <c r="AU27" s="54">
        <f>(1-BR27)/SUM($BL27:BR27)</f>
        <v>3.4980349426469659E-2</v>
      </c>
      <c r="AV27" s="54">
        <f>(1-BS27)/SUM($BL27:BS27)</f>
        <v>3.5321430806206415E-2</v>
      </c>
      <c r="AW27" s="54">
        <f>(1-BT27)/SUM($BL27:BT27)</f>
        <v>3.5678703998491212E-2</v>
      </c>
      <c r="AX27" s="54">
        <f>(1-BU27)/SUM($BL27:BU27)</f>
        <v>3.6045140716704768E-2</v>
      </c>
      <c r="AY27" s="54">
        <f>(1-BV27)/SUM($BL27:BV27)</f>
        <v>3.6416203970241069E-2</v>
      </c>
      <c r="AZ27" s="54">
        <f>(1-BW27)/SUM($BL27:BW27)</f>
        <v>3.6788813808833733E-2</v>
      </c>
      <c r="BA27" s="54">
        <f>(1-BX27)/SUM($BL27:BX27)</f>
        <v>3.7160790386053043E-2</v>
      </c>
      <c r="BB27" s="54">
        <f>(1-BY27)/SUM($BL27:BY27)</f>
        <v>3.753053579155826E-2</v>
      </c>
      <c r="BC27" s="54">
        <f>(1-BZ27)/SUM($BL27:BZ27)</f>
        <v>3.789684327158771E-2</v>
      </c>
      <c r="BD27" s="54">
        <f>(1-CA27)/SUM($BL27:CA27)</f>
        <v>3.8258778123150372E-2</v>
      </c>
      <c r="BE27" s="54">
        <f>(1-CB27)/SUM($BL27:CB27)</f>
        <v>3.8615600754421574E-2</v>
      </c>
      <c r="BF27" s="54">
        <f>(1-CC27)/SUM($BL27:CC27)</f>
        <v>3.8966715512084631E-2</v>
      </c>
      <c r="BG27" s="54">
        <f>(1-CD27)/SUM($BL27:CD27)</f>
        <v>3.9311635777539565E-2</v>
      </c>
      <c r="BH27" s="54">
        <f>(1-CE27)/SUM($BL27:CE27)</f>
        <v>3.9649959630567222E-2</v>
      </c>
      <c r="BI27" s="14"/>
      <c r="BJ27" s="47"/>
      <c r="BK27" s="47"/>
      <c r="BL27" s="6">
        <f t="shared" si="22"/>
        <v>0.96818152430318638</v>
      </c>
      <c r="BM27" s="5">
        <f t="shared" si="38"/>
        <v>0.93611633386688076</v>
      </c>
      <c r="BN27" s="5">
        <f t="shared" si="39"/>
        <v>0.90385699196056124</v>
      </c>
      <c r="BO27" s="5">
        <f t="shared" si="40"/>
        <v>0.87397179664785984</v>
      </c>
      <c r="BP27" s="5">
        <f t="shared" si="41"/>
        <v>0.84428152168792436</v>
      </c>
      <c r="BQ27" s="5">
        <f t="shared" si="42"/>
        <v>0.81483487485970207</v>
      </c>
      <c r="BR27" s="5">
        <f t="shared" si="43"/>
        <v>0.78567815555470455</v>
      </c>
      <c r="BS27" s="5">
        <f t="shared" si="44"/>
        <v>0.75685516932501862</v>
      </c>
      <c r="BT27" s="5">
        <f t="shared" si="45"/>
        <v>0.72840715721434213</v>
      </c>
      <c r="BU27" s="5">
        <f t="shared" si="27"/>
        <v>0.70037273970793146</v>
      </c>
      <c r="BV27" s="5">
        <f t="shared" si="28"/>
        <v>0.67278787504851756</v>
      </c>
      <c r="BW27" s="5">
        <f t="shared" si="29"/>
        <v>0.64568583158168624</v>
      </c>
      <c r="BX27" s="5">
        <f t="shared" si="30"/>
        <v>0.61909717371661399</v>
      </c>
      <c r="BY27" s="5">
        <f t="shared" si="31"/>
        <v>0.59304976101671736</v>
      </c>
      <c r="BZ27" s="5">
        <f t="shared" si="32"/>
        <v>0.56756875986994615</v>
      </c>
      <c r="CA27" s="5">
        <f t="shared" si="33"/>
        <v>0.54267666713061147</v>
      </c>
      <c r="CB27" s="5">
        <f t="shared" si="34"/>
        <v>0.51839334507376134</v>
      </c>
      <c r="CC27" s="5">
        <f t="shared" si="35"/>
        <v>0.49473606695938915</v>
      </c>
      <c r="CD27" s="5">
        <f t="shared" si="36"/>
        <v>0.47171957246731566</v>
      </c>
      <c r="CE27" s="5">
        <f t="shared" si="37"/>
        <v>0.44935613223414944</v>
      </c>
    </row>
    <row r="28" spans="1:83" ht="14.25" customHeight="1">
      <c r="A28" s="57"/>
      <c r="B28" s="58"/>
      <c r="C28" s="59"/>
      <c r="D28" s="59"/>
      <c r="E28" s="59"/>
      <c r="F28" s="59"/>
      <c r="G28" s="59"/>
      <c r="H28" s="59"/>
      <c r="I28" s="59"/>
      <c r="J28" s="59"/>
      <c r="K28" s="60"/>
      <c r="M28" s="24"/>
      <c r="N28" s="42">
        <f t="shared" si="25"/>
        <v>18</v>
      </c>
      <c r="O28" s="50">
        <f t="shared" si="26"/>
        <v>2.1999999999999999E-2</v>
      </c>
      <c r="P28" s="51">
        <f t="shared" si="23"/>
        <v>14.485327149287754</v>
      </c>
      <c r="Q28" s="52">
        <f t="shared" si="3"/>
        <v>2.2782340049919636E-2</v>
      </c>
      <c r="R28" s="44">
        <f t="shared" si="24"/>
        <v>2.2782340049919636E-2</v>
      </c>
      <c r="S28" s="6"/>
      <c r="T28" s="53">
        <f t="shared" si="0"/>
        <v>3.4253424789471909E-2</v>
      </c>
      <c r="U28" s="53">
        <f t="shared" si="4"/>
        <v>3.497184228879302E-2</v>
      </c>
      <c r="V28" s="53">
        <f t="shared" si="5"/>
        <v>3.4712726909995828E-2</v>
      </c>
      <c r="W28" s="53">
        <f t="shared" si="6"/>
        <v>3.4826106781881139E-2</v>
      </c>
      <c r="X28" s="53">
        <f t="shared" si="7"/>
        <v>3.5088387813512201E-2</v>
      </c>
      <c r="Y28" s="53">
        <f t="shared" si="8"/>
        <v>3.5425092294645744E-2</v>
      </c>
      <c r="Z28" s="53">
        <f t="shared" si="9"/>
        <v>3.5804314339643373E-2</v>
      </c>
      <c r="AA28" s="53">
        <f t="shared" si="10"/>
        <v>3.6210105313813967E-2</v>
      </c>
      <c r="AB28" s="53">
        <f t="shared" si="11"/>
        <v>3.6633606566299548E-2</v>
      </c>
      <c r="AC28" s="53">
        <f t="shared" si="12"/>
        <v>3.7069503672353177E-2</v>
      </c>
      <c r="AD28" s="53">
        <f t="shared" si="13"/>
        <v>3.751441510506992E-2</v>
      </c>
      <c r="AE28" s="53">
        <f t="shared" si="14"/>
        <v>3.7966086716288538E-2</v>
      </c>
      <c r="AF28" s="53">
        <f t="shared" si="15"/>
        <v>3.842295805731788E-2</v>
      </c>
      <c r="AG28" s="53">
        <f t="shared" si="16"/>
        <v>3.8883914590891022E-2</v>
      </c>
      <c r="AH28" s="53">
        <f t="shared" si="17"/>
        <v>3.9348139032614027E-2</v>
      </c>
      <c r="AI28" s="53">
        <f t="shared" si="18"/>
        <v>3.9815018446897721E-2</v>
      </c>
      <c r="AJ28" s="53">
        <f t="shared" si="19"/>
        <v>4.0284084136730236E-2</v>
      </c>
      <c r="AK28" s="53">
        <f t="shared" ref="AK28:AK54" si="48">((1+$R46)^$N46/(1+$R28)^$N28)^(1/($N46-$N28))-1</f>
        <v>4.0754971572593668E-2</v>
      </c>
      <c r="AL28" s="53">
        <f t="shared" si="47"/>
        <v>4.1227392976851407E-2</v>
      </c>
      <c r="AM28" s="53">
        <f t="shared" si="46"/>
        <v>4.1701118133701032E-2</v>
      </c>
      <c r="AN28" s="6"/>
      <c r="AO28" s="54">
        <f>(1-BL28)/SUM($BL28:BL28)</f>
        <v>3.4253424789471951E-2</v>
      </c>
      <c r="AP28" s="54">
        <f>(1-BM28)/SUM($BL28:BM28)</f>
        <v>3.4959491770728983E-2</v>
      </c>
      <c r="AQ28" s="54">
        <f>(1-BN28)/SUM($BL28:BN28)</f>
        <v>3.4713202885031477E-2</v>
      </c>
      <c r="AR28" s="54">
        <f>(1-BO28)/SUM($BL28:BO28)</f>
        <v>3.4820716892360687E-2</v>
      </c>
      <c r="AS28" s="54">
        <f>(1-BP28)/SUM($BL28:BP28)</f>
        <v>3.5066199909702403E-2</v>
      </c>
      <c r="AT28" s="54">
        <f>(1-BQ28)/SUM($BL28:BQ28)</f>
        <v>3.5377510838134084E-2</v>
      </c>
      <c r="AU28" s="54">
        <f>(1-BR28)/SUM($BL28:BR28)</f>
        <v>3.5723601861609305E-2</v>
      </c>
      <c r="AV28" s="54">
        <f>(1-BS28)/SUM($BL28:BS28)</f>
        <v>3.6088846308073713E-2</v>
      </c>
      <c r="AW28" s="54">
        <f>(1-BT28)/SUM($BL28:BT28)</f>
        <v>3.6464477106076296E-2</v>
      </c>
      <c r="AX28" s="54">
        <f>(1-BU28)/SUM($BL28:BU28)</f>
        <v>3.6845161238192918E-2</v>
      </c>
      <c r="AY28" s="54">
        <f>(1-BV28)/SUM($BL28:BV28)</f>
        <v>3.7227442529742007E-2</v>
      </c>
      <c r="AZ28" s="54">
        <f>(1-BW28)/SUM($BL28:BW28)</f>
        <v>3.7608963124102404E-2</v>
      </c>
      <c r="BA28" s="54">
        <f>(1-BX28)/SUM($BL28:BX28)</f>
        <v>3.7988044426136625E-2</v>
      </c>
      <c r="BB28" s="54">
        <f>(1-BY28)/SUM($BL28:BY28)</f>
        <v>3.8363447806821251E-2</v>
      </c>
      <c r="BC28" s="54">
        <f>(1-BZ28)/SUM($BL28:BZ28)</f>
        <v>3.8734231189237675E-2</v>
      </c>
      <c r="BD28" s="54">
        <f>(1-CA28)/SUM($BL28:CA28)</f>
        <v>3.9099659568254883E-2</v>
      </c>
      <c r="BE28" s="54">
        <f>(1-CB28)/SUM($BL28:CB28)</f>
        <v>3.945914725204841E-2</v>
      </c>
      <c r="BF28" s="54">
        <f>(1-CC28)/SUM($BL28:CC28)</f>
        <v>3.981221948274228E-2</v>
      </c>
      <c r="BG28" s="54">
        <f>(1-CD28)/SUM($BL28:CD28)</f>
        <v>4.0158486288330825E-2</v>
      </c>
      <c r="BH28" s="54">
        <f>(1-CE28)/SUM($BL28:CE28)</f>
        <v>4.0497624275459984E-2</v>
      </c>
      <c r="BI28" s="14"/>
      <c r="BJ28" s="47"/>
      <c r="BK28" s="47"/>
      <c r="BL28" s="6">
        <f t="shared" si="22"/>
        <v>0.96688101390967651</v>
      </c>
      <c r="BM28" s="5">
        <f t="shared" si="38"/>
        <v>0.93356149572372749</v>
      </c>
      <c r="BN28" s="5">
        <f t="shared" si="39"/>
        <v>0.90269414847269391</v>
      </c>
      <c r="BO28" s="5">
        <f t="shared" si="40"/>
        <v>0.8720281274687256</v>
      </c>
      <c r="BP28" s="5">
        <f t="shared" si="41"/>
        <v>0.84161374123116994</v>
      </c>
      <c r="BQ28" s="5">
        <f t="shared" si="42"/>
        <v>0.81149881074230101</v>
      </c>
      <c r="BR28" s="5">
        <f t="shared" si="43"/>
        <v>0.78172858118702315</v>
      </c>
      <c r="BS28" s="5">
        <f t="shared" si="44"/>
        <v>0.75234564896142364</v>
      </c>
      <c r="BT28" s="5">
        <f t="shared" si="45"/>
        <v>0.72338990378069745</v>
      </c>
      <c r="BU28" s="5">
        <f t="shared" si="27"/>
        <v>0.6948984856251329</v>
      </c>
      <c r="BV28" s="5">
        <f t="shared" si="28"/>
        <v>0.66690575617665804</v>
      </c>
      <c r="BW28" s="5">
        <f t="shared" si="29"/>
        <v>0.63944328431818342</v>
      </c>
      <c r="BX28" s="5">
        <f t="shared" si="30"/>
        <v>0.61253984519436411</v>
      </c>
      <c r="BY28" s="5">
        <f t="shared" si="31"/>
        <v>0.58622143226543477</v>
      </c>
      <c r="BZ28" s="5">
        <f t="shared" si="32"/>
        <v>0.5605112817259994</v>
      </c>
      <c r="CA28" s="5">
        <f t="shared" si="33"/>
        <v>0.53542990860815798</v>
      </c>
      <c r="CB28" s="5">
        <f t="shared" si="34"/>
        <v>0.51099515384313576</v>
      </c>
      <c r="CC28" s="5">
        <f t="shared" si="35"/>
        <v>0.48722224151800414</v>
      </c>
      <c r="CD28" s="5">
        <f t="shared" si="36"/>
        <v>0.46412384553357239</v>
      </c>
      <c r="CE28" s="5">
        <f t="shared" si="37"/>
        <v>0.44171016484676112</v>
      </c>
    </row>
    <row r="29" spans="1:83" ht="14.25" customHeight="1">
      <c r="M29" s="24"/>
      <c r="N29" s="42">
        <f t="shared" si="25"/>
        <v>19</v>
      </c>
      <c r="O29" s="50">
        <f t="shared" si="26"/>
        <v>2.2499999999999999E-2</v>
      </c>
      <c r="P29" s="51">
        <f t="shared" si="23"/>
        <v>15.151983512023243</v>
      </c>
      <c r="Q29" s="52">
        <f t="shared" si="3"/>
        <v>2.3382897053291885E-2</v>
      </c>
      <c r="R29" s="44">
        <f t="shared" si="24"/>
        <v>2.3382897053291885E-2</v>
      </c>
      <c r="S29" s="6"/>
      <c r="T29" s="53">
        <f t="shared" si="0"/>
        <v>3.5690758818323731E-2</v>
      </c>
      <c r="U29" s="53">
        <f t="shared" si="4"/>
        <v>3.4942454453987803E-2</v>
      </c>
      <c r="V29" s="53">
        <f t="shared" si="5"/>
        <v>3.5017071237972486E-2</v>
      </c>
      <c r="W29" s="53">
        <f t="shared" si="6"/>
        <v>3.5297233872321199E-2</v>
      </c>
      <c r="X29" s="53">
        <f t="shared" si="7"/>
        <v>3.5659585028247731E-2</v>
      </c>
      <c r="Y29" s="53">
        <f t="shared" si="8"/>
        <v>3.6063021937096318E-2</v>
      </c>
      <c r="Z29" s="53">
        <f t="shared" si="9"/>
        <v>3.6489933127509033E-2</v>
      </c>
      <c r="AA29" s="53">
        <f t="shared" si="10"/>
        <v>3.6931514176543612E-2</v>
      </c>
      <c r="AB29" s="53">
        <f t="shared" si="11"/>
        <v>3.7382874256794096E-2</v>
      </c>
      <c r="AC29" s="53">
        <f t="shared" si="12"/>
        <v>3.7841079105296327E-2</v>
      </c>
      <c r="AD29" s="53">
        <f t="shared" si="13"/>
        <v>3.8304261579648946E-2</v>
      </c>
      <c r="AE29" s="53">
        <f t="shared" si="14"/>
        <v>3.877117698026078E-2</v>
      </c>
      <c r="AF29" s="53">
        <f t="shared" si="15"/>
        <v>3.9240963627309444E-2</v>
      </c>
      <c r="AG29" s="53">
        <f t="shared" si="16"/>
        <v>3.9713006056315558E-2</v>
      </c>
      <c r="AH29" s="53">
        <f t="shared" si="17"/>
        <v>4.0186852939836593E-2</v>
      </c>
      <c r="AI29" s="53">
        <f t="shared" si="18"/>
        <v>4.0662165790819493E-2</v>
      </c>
      <c r="AJ29" s="53">
        <f t="shared" ref="AJ29:AJ54" si="49">((1+$R46)^$N46/(1+$R29)^$N29)^(1/($N46-$N29))-1</f>
        <v>4.1138685771922479E-2</v>
      </c>
      <c r="AK29" s="53">
        <f t="shared" si="48"/>
        <v>4.1616211569131201E-2</v>
      </c>
      <c r="AL29" s="53">
        <f t="shared" si="47"/>
        <v>4.2094584253087319E-2</v>
      </c>
      <c r="AM29" s="53">
        <f t="shared" si="46"/>
        <v>4.2573676682294836E-2</v>
      </c>
      <c r="AN29" s="6"/>
      <c r="AO29" s="54">
        <f>(1-BL29)/SUM($BL29:BL29)</f>
        <v>3.569075881832371E-2</v>
      </c>
      <c r="AP29" s="54">
        <f>(1-BM29)/SUM($BL29:BM29)</f>
        <v>3.4955299192597891E-2</v>
      </c>
      <c r="AQ29" s="54">
        <f>(1-BN29)/SUM($BL29:BN29)</f>
        <v>3.5023245138980329E-2</v>
      </c>
      <c r="AR29" s="54">
        <f>(1-BO29)/SUM($BL29:BO29)</f>
        <v>3.5287574422480247E-2</v>
      </c>
      <c r="AS29" s="54">
        <f>(1-BP29)/SUM($BL29:BP29)</f>
        <v>3.5626710263685274E-2</v>
      </c>
      <c r="AT29" s="54">
        <f>(1-BQ29)/SUM($BL29:BQ29)</f>
        <v>3.5999987585160688E-2</v>
      </c>
      <c r="AU29" s="54">
        <f>(1-BR29)/SUM($BL29:BR29)</f>
        <v>3.6389862860131086E-2</v>
      </c>
      <c r="AV29" s="54">
        <f>(1-BS29)/SUM($BL29:BS29)</f>
        <v>3.6787466919714337E-2</v>
      </c>
      <c r="AW29" s="54">
        <f>(1-BT29)/SUM($BL29:BT29)</f>
        <v>3.7187789534365814E-2</v>
      </c>
      <c r="AX29" s="54">
        <f>(1-BU29)/SUM($BL29:BU29)</f>
        <v>3.7587753530945178E-2</v>
      </c>
      <c r="AY29" s="54">
        <f>(1-BV29)/SUM($BL29:BV29)</f>
        <v>3.7985339651326742E-2</v>
      </c>
      <c r="AZ29" s="54">
        <f>(1-BW29)/SUM($BL29:BW29)</f>
        <v>3.8379149219451625E-2</v>
      </c>
      <c r="BA29" s="54">
        <f>(1-BX29)/SUM($BL29:BX29)</f>
        <v>3.8768168871591006E-2</v>
      </c>
      <c r="BB29" s="54">
        <f>(1-BY29)/SUM($BL29:BY29)</f>
        <v>3.9151636314431935E-2</v>
      </c>
      <c r="BC29" s="54">
        <f>(1-BZ29)/SUM($BL29:BZ29)</f>
        <v>3.9528959959442042E-2</v>
      </c>
      <c r="BD29" s="54">
        <f>(1-CA29)/SUM($BL29:CA29)</f>
        <v>3.9899668856091995E-2</v>
      </c>
      <c r="BE29" s="54">
        <f>(1-CB29)/SUM($BL29:CB29)</f>
        <v>4.026338044016161E-2</v>
      </c>
      <c r="BF29" s="54">
        <f>(1-CC29)/SUM($BL29:CC29)</f>
        <v>4.0619779160157937E-2</v>
      </c>
      <c r="BG29" s="54">
        <f>(1-CD29)/SUM($BL29:CD29)</f>
        <v>4.096860196422137E-2</v>
      </c>
      <c r="BH29" s="54">
        <f>(1-CE29)/SUM($BL29:CE29)</f>
        <v>4.1309628235566574E-2</v>
      </c>
      <c r="BI29" s="14"/>
      <c r="BJ29" s="47"/>
      <c r="BK29" s="47"/>
      <c r="BL29" s="6">
        <f t="shared" si="22"/>
        <v>0.96553917420384705</v>
      </c>
      <c r="BM29" s="5">
        <f t="shared" si="38"/>
        <v>0.93361451459529987</v>
      </c>
      <c r="BN29" s="5">
        <f t="shared" si="39"/>
        <v>0.90189807734727989</v>
      </c>
      <c r="BO29" s="5">
        <f t="shared" si="40"/>
        <v>0.87044189421821816</v>
      </c>
      <c r="BP29" s="5">
        <f t="shared" si="41"/>
        <v>0.83929542422280867</v>
      </c>
      <c r="BQ29" s="5">
        <f t="shared" si="42"/>
        <v>0.80850546234849296</v>
      </c>
      <c r="BR29" s="5">
        <f t="shared" si="43"/>
        <v>0.77811606406381073</v>
      </c>
      <c r="BS29" s="5">
        <f t="shared" si="44"/>
        <v>0.7481684854433126</v>
      </c>
      <c r="BT29" s="5">
        <f t="shared" si="45"/>
        <v>0.7187011386388118</v>
      </c>
      <c r="BU29" s="5">
        <f t="shared" si="27"/>
        <v>0.68974956233752205</v>
      </c>
      <c r="BV29" s="5">
        <f t="shared" si="28"/>
        <v>0.66134640676471024</v>
      </c>
      <c r="BW29" s="5">
        <f t="shared" si="29"/>
        <v>0.63352143271228412</v>
      </c>
      <c r="BX29" s="5">
        <f t="shared" si="30"/>
        <v>0.60630152400551529</v>
      </c>
      <c r="BY29" s="5">
        <f t="shared" si="31"/>
        <v>0.5797107127582527</v>
      </c>
      <c r="BZ29" s="5">
        <f t="shared" si="32"/>
        <v>0.55377021671270032</v>
      </c>
      <c r="CA29" s="5">
        <f t="shared" si="33"/>
        <v>0.5284984879130864</v>
      </c>
      <c r="CB29" s="5">
        <f t="shared" si="34"/>
        <v>0.50391127192359897</v>
      </c>
      <c r="CC29" s="5">
        <f t="shared" si="35"/>
        <v>0.48002167676955648</v>
      </c>
      <c r="CD29" s="5">
        <f t="shared" si="36"/>
        <v>0.45684025075708479</v>
      </c>
      <c r="CE29" s="5">
        <f t="shared" si="37"/>
        <v>0.43437506830996542</v>
      </c>
    </row>
    <row r="30" spans="1:83" ht="14.25" customHeight="1">
      <c r="M30" s="24"/>
      <c r="N30" s="42">
        <f t="shared" si="25"/>
        <v>20</v>
      </c>
      <c r="O30" s="169">
        <f>'Input - Entrée de données'!D13</f>
        <v>2.3E-2</v>
      </c>
      <c r="P30" s="51">
        <f t="shared" si="23"/>
        <v>15.79656089195427</v>
      </c>
      <c r="Q30" s="52">
        <f t="shared" si="3"/>
        <v>2.3994801853138181E-2</v>
      </c>
      <c r="R30" s="61">
        <f t="shared" si="24"/>
        <v>2.3994801853138181E-2</v>
      </c>
      <c r="T30" s="53">
        <f t="shared" si="0"/>
        <v>3.4194690752409551E-2</v>
      </c>
      <c r="U30" s="53">
        <f t="shared" si="4"/>
        <v>3.4680391796143795E-2</v>
      </c>
      <c r="V30" s="53">
        <f t="shared" si="5"/>
        <v>3.5166092120951786E-2</v>
      </c>
      <c r="W30" s="53">
        <f t="shared" si="6"/>
        <v>3.5651791727341786E-2</v>
      </c>
      <c r="X30" s="53">
        <f t="shared" si="7"/>
        <v>3.6137490615822498E-2</v>
      </c>
      <c r="Y30" s="53">
        <f t="shared" si="8"/>
        <v>3.6623188786902849E-2</v>
      </c>
      <c r="Z30" s="53">
        <f t="shared" si="9"/>
        <v>3.7108886241091099E-2</v>
      </c>
      <c r="AA30" s="53">
        <f t="shared" si="10"/>
        <v>3.759458297889462E-2</v>
      </c>
      <c r="AB30" s="53">
        <f t="shared" si="11"/>
        <v>3.8080279000819228E-2</v>
      </c>
      <c r="AC30" s="53">
        <f t="shared" si="12"/>
        <v>3.8565974307371631E-2</v>
      </c>
      <c r="AD30" s="53">
        <f t="shared" si="13"/>
        <v>3.9051668899057645E-2</v>
      </c>
      <c r="AE30" s="53">
        <f t="shared" si="14"/>
        <v>3.9537362776381535E-2</v>
      </c>
      <c r="AF30" s="53">
        <f t="shared" si="15"/>
        <v>4.0023055939848451E-2</v>
      </c>
      <c r="AG30" s="53">
        <f t="shared" si="16"/>
        <v>4.0508748389961324E-2</v>
      </c>
      <c r="AH30" s="53">
        <f t="shared" si="17"/>
        <v>4.0994440127224197E-2</v>
      </c>
      <c r="AI30" s="53">
        <f t="shared" ref="AI30:AI54" si="50">((1+$R46)^$N46/(1+$R30)^$N30)^(1/($N46-$N30))-1</f>
        <v>4.1480131152138888E-2</v>
      </c>
      <c r="AJ30" s="53">
        <f t="shared" si="49"/>
        <v>4.1965821465208775E-2</v>
      </c>
      <c r="AK30" s="53">
        <f t="shared" si="48"/>
        <v>4.2451511066934788E-2</v>
      </c>
      <c r="AL30" s="53">
        <f t="shared" si="47"/>
        <v>4.2937199957817862E-2</v>
      </c>
      <c r="AM30" s="53">
        <f t="shared" si="46"/>
        <v>4.3422888138358484E-2</v>
      </c>
      <c r="AO30" s="54">
        <f>(1-BL30)/SUM($BL30:BL30)</f>
        <v>3.4194690752409551E-2</v>
      </c>
      <c r="AP30" s="54">
        <f>(1-BM30)/SUM($BL30:BM30)</f>
        <v>3.4672111287024035E-2</v>
      </c>
      <c r="AQ30" s="54">
        <f>(1-BN30)/SUM($BL30:BN30)</f>
        <v>3.5143710092682461E-2</v>
      </c>
      <c r="AR30" s="54">
        <f>(1-BO30)/SUM($BL30:BO30)</f>
        <v>3.5609266813965854E-2</v>
      </c>
      <c r="AS30" s="54">
        <f>(1-BP30)/SUM($BL30:BP30)</f>
        <v>3.6068565734967084E-2</v>
      </c>
      <c r="AT30" s="54">
        <f>(1-BQ30)/SUM($BL30:BQ30)</f>
        <v>3.6521396229102443E-2</v>
      </c>
      <c r="AU30" s="54">
        <f>(1-BR30)/SUM($BL30:BR30)</f>
        <v>3.6967553219903283E-2</v>
      </c>
      <c r="AV30" s="54">
        <f>(1-BS30)/SUM($BL30:BS30)</f>
        <v>3.7406837650967202E-2</v>
      </c>
      <c r="AW30" s="54">
        <f>(1-BT30)/SUM($BL30:BT30)</f>
        <v>3.7839056963024746E-2</v>
      </c>
      <c r="AX30" s="54">
        <f>(1-BU30)/SUM($BL30:BU30)</f>
        <v>3.8264025575866709E-2</v>
      </c>
      <c r="AY30" s="54">
        <f>(1-BV30)/SUM($BL30:BV30)</f>
        <v>3.868156537265386E-2</v>
      </c>
      <c r="AZ30" s="54">
        <f>(1-BW30)/SUM($BL30:BW30)</f>
        <v>3.9091506183941971E-2</v>
      </c>
      <c r="BA30" s="54">
        <f>(1-BX30)/SUM($BL30:BX30)</f>
        <v>3.9493686268560577E-2</v>
      </c>
      <c r="BB30" s="54">
        <f>(1-BY30)/SUM($BL30:BY30)</f>
        <v>3.9887952788302775E-2</v>
      </c>
      <c r="BC30" s="54">
        <f>(1-BZ30)/SUM($BL30:BZ30)</f>
        <v>4.0274162273246678E-2</v>
      </c>
      <c r="BD30" s="54">
        <f>(1-CA30)/SUM($BL30:CA30)</f>
        <v>4.0652181074377132E-2</v>
      </c>
      <c r="BE30" s="54">
        <f>(1-CB30)/SUM($BL30:CB30)</f>
        <v>4.1021885800093499E-2</v>
      </c>
      <c r="BF30" s="54">
        <f>(1-CC30)/SUM($BL30:CC30)</f>
        <v>4.1383163733096799E-2</v>
      </c>
      <c r="BG30" s="54">
        <f>(1-CD30)/SUM($BL30:CD30)</f>
        <v>4.1735913224125488E-2</v>
      </c>
      <c r="BH30" s="54">
        <f>(1-CE30)/SUM($BL30:CE30)</f>
        <v>4.2080044058994168E-2</v>
      </c>
      <c r="BI30" s="14"/>
      <c r="BJ30" s="47"/>
      <c r="BK30" s="47"/>
      <c r="BL30" s="6">
        <f t="shared" si="22"/>
        <v>0.96693592506500703</v>
      </c>
      <c r="BM30" s="5">
        <f t="shared" si="38"/>
        <v>0.93408750410459163</v>
      </c>
      <c r="BN30" s="5">
        <f t="shared" si="39"/>
        <v>0.90150862593012571</v>
      </c>
      <c r="BO30" s="5">
        <f t="shared" si="40"/>
        <v>0.86925051478606763</v>
      </c>
      <c r="BP30" s="5">
        <f t="shared" si="41"/>
        <v>0.83736163580847056</v>
      </c>
      <c r="BQ30" s="5">
        <f t="shared" si="42"/>
        <v>0.80588761683897514</v>
      </c>
      <c r="BR30" s="5">
        <f t="shared" si="43"/>
        <v>0.77487118641274044</v>
      </c>
      <c r="BS30" s="5">
        <f t="shared" si="44"/>
        <v>0.7443521276404238</v>
      </c>
      <c r="BT30" s="5">
        <f t="shared" si="45"/>
        <v>0.71436724761195469</v>
      </c>
      <c r="BU30" s="5">
        <f t="shared" si="27"/>
        <v>0.68495036186391423</v>
      </c>
      <c r="BV30" s="5">
        <f t="shared" si="28"/>
        <v>0.65613229337345647</v>
      </c>
      <c r="BW30" s="5">
        <f t="shared" si="29"/>
        <v>0.6279408854699785</v>
      </c>
      <c r="BX30" s="5">
        <f t="shared" si="30"/>
        <v>0.60040102799170436</v>
      </c>
      <c r="BY30" s="5">
        <f t="shared" si="31"/>
        <v>0.57353469595816453</v>
      </c>
      <c r="BZ30" s="5">
        <f t="shared" si="32"/>
        <v>0.54736099998104126</v>
      </c>
      <c r="CA30" s="5">
        <f t="shared" si="33"/>
        <v>0.52189624759565745</v>
      </c>
      <c r="CB30" s="5">
        <f t="shared" si="34"/>
        <v>0.49715401466270598</v>
      </c>
      <c r="CC30" s="5">
        <f t="shared" si="35"/>
        <v>0.47314522596535902</v>
      </c>
      <c r="CD30" s="5">
        <f t="shared" si="36"/>
        <v>0.44987824410971028</v>
      </c>
      <c r="CE30" s="5">
        <f t="shared" si="37"/>
        <v>0.42735896582703276</v>
      </c>
    </row>
    <row r="31" spans="1:83" ht="14.25" customHeight="1">
      <c r="A31" s="62"/>
      <c r="B31" s="63"/>
      <c r="C31" s="8"/>
      <c r="D31" s="8"/>
      <c r="E31" s="8"/>
      <c r="F31" s="8"/>
      <c r="G31" s="8"/>
      <c r="H31" s="8"/>
      <c r="I31" s="8"/>
      <c r="J31" s="8"/>
      <c r="K31" s="10"/>
      <c r="M31" s="24"/>
      <c r="N31" s="42">
        <f t="shared" si="25"/>
        <v>21</v>
      </c>
      <c r="O31" s="50">
        <f>(O$30*($N$35-$N31)+O$35*($N31-$N$30))/($N$35-$N$30)</f>
        <v>2.24E-2</v>
      </c>
      <c r="P31" s="51">
        <f t="shared" si="23"/>
        <v>16.418925603083355</v>
      </c>
      <c r="Q31" s="52">
        <f t="shared" ref="Q31:Q90" si="51">((1+$O31)/(1-$O31*$P31))^(1/$N31)-1</f>
        <v>2.3153346730262259E-2</v>
      </c>
      <c r="R31" s="64">
        <f t="shared" ref="R31:R62" si="52">((N31-N$30)*LT_Med+(80-N31)*R$30)/(80-N$30)</f>
        <v>2.4478221822252545E-2</v>
      </c>
      <c r="S31" s="41">
        <v>1</v>
      </c>
      <c r="T31" s="65">
        <f t="shared" si="0"/>
        <v>3.5166320945384744E-2</v>
      </c>
      <c r="U31" s="65">
        <f t="shared" si="4"/>
        <v>3.5652134909431199E-2</v>
      </c>
      <c r="V31" s="65">
        <f t="shared" si="5"/>
        <v>3.6137948119229435E-2</v>
      </c>
      <c r="W31" s="65">
        <f t="shared" si="6"/>
        <v>3.6623760575313025E-2</v>
      </c>
      <c r="X31" s="65">
        <f t="shared" si="7"/>
        <v>3.7109572278216874E-2</v>
      </c>
      <c r="Y31" s="65">
        <f t="shared" si="8"/>
        <v>3.7595383228474777E-2</v>
      </c>
      <c r="Z31" s="65">
        <f t="shared" si="9"/>
        <v>3.8081193426619198E-2</v>
      </c>
      <c r="AA31" s="65">
        <f t="shared" si="10"/>
        <v>3.8567002873181266E-2</v>
      </c>
      <c r="AB31" s="65">
        <f t="shared" si="11"/>
        <v>3.905281156869278E-2</v>
      </c>
      <c r="AC31" s="65">
        <f t="shared" si="12"/>
        <v>3.9538619513684869E-2</v>
      </c>
      <c r="AD31" s="65">
        <f t="shared" si="13"/>
        <v>4.0024426708687555E-2</v>
      </c>
      <c r="AE31" s="65">
        <f t="shared" si="14"/>
        <v>4.0510233154230191E-2</v>
      </c>
      <c r="AF31" s="65">
        <f t="shared" si="15"/>
        <v>4.0996038850841909E-2</v>
      </c>
      <c r="AG31" s="65">
        <f t="shared" si="16"/>
        <v>4.1481843799051399E-2</v>
      </c>
      <c r="AH31" s="65">
        <f t="shared" ref="AH31:AH54" si="53">((1+$R46)^$N46/(1+$R31)^$N31)^(1/($N46-$N31))-1</f>
        <v>4.1967647999385127E-2</v>
      </c>
      <c r="AI31" s="65">
        <f t="shared" si="50"/>
        <v>4.2453451452372448E-2</v>
      </c>
      <c r="AJ31" s="65">
        <f t="shared" si="49"/>
        <v>4.2939254158538942E-2</v>
      </c>
      <c r="AK31" s="65">
        <f t="shared" si="48"/>
        <v>4.342505611841041E-2</v>
      </c>
      <c r="AL31" s="65">
        <f t="shared" si="47"/>
        <v>4.3910857332512432E-2</v>
      </c>
      <c r="AM31" s="65">
        <f t="shared" si="46"/>
        <v>4.4396657801370143E-2</v>
      </c>
      <c r="AN31" s="41">
        <v>3</v>
      </c>
      <c r="AO31" s="65">
        <f>(1-BL31)/SUM($BL31:BL31)</f>
        <v>3.5166320945384702E-2</v>
      </c>
      <c r="AP31" s="65">
        <f>(1-BM31)/SUM($BL31:BM31)</f>
        <v>3.564362446854992E-2</v>
      </c>
      <c r="AQ31" s="65">
        <f>(1-BN31)/SUM($BL31:BN31)</f>
        <v>3.6114953306497631E-2</v>
      </c>
      <c r="AR31" s="65">
        <f>(1-BO31)/SUM($BL31:BO31)</f>
        <v>3.6580087615152239E-2</v>
      </c>
      <c r="AS31" s="65">
        <f>(1-BP31)/SUM($BL31:BP31)</f>
        <v>3.7038812395974174E-2</v>
      </c>
      <c r="AT31" s="65">
        <f>(1-BQ31)/SUM($BL31:BQ31)</f>
        <v>3.7490917959746989E-2</v>
      </c>
      <c r="AU31" s="65">
        <f>(1-BR31)/SUM($BL31:BR31)</f>
        <v>3.7936200400943698E-2</v>
      </c>
      <c r="AV31" s="65">
        <f>(1-BS31)/SUM($BL31:BS31)</f>
        <v>3.8374462080697454E-2</v>
      </c>
      <c r="AW31" s="65">
        <f>(1-BT31)/SUM($BL31:BT31)</f>
        <v>3.8805512116180489E-2</v>
      </c>
      <c r="AX31" s="65">
        <f>(1-BU31)/SUM($BL31:BU31)</f>
        <v>3.9229166873965528E-2</v>
      </c>
      <c r="AY31" s="65">
        <f>(1-BV31)/SUM($BL31:BV31)</f>
        <v>3.9645250464738539E-2</v>
      </c>
      <c r="AZ31" s="65">
        <f>(1-BW31)/SUM($BL31:BW31)</f>
        <v>4.0053595236525165E-2</v>
      </c>
      <c r="BA31" s="65">
        <f>(1-BX31)/SUM($BL31:BX31)</f>
        <v>4.0454042263402691E-2</v>
      </c>
      <c r="BB31" s="65">
        <f>(1-BY31)/SUM($BL31:BY31)</f>
        <v>4.0846441826501233E-2</v>
      </c>
      <c r="BC31" s="65">
        <f>(1-BZ31)/SUM($BL31:BZ31)</f>
        <v>4.1230653883946686E-2</v>
      </c>
      <c r="BD31" s="65">
        <f>(1-CA31)/SUM($BL31:CA31)</f>
        <v>4.1606548526284613E-2</v>
      </c>
      <c r="BE31" s="65">
        <f>(1-CB31)/SUM($BL31:CB31)</f>
        <v>4.1974006413809876E-2</v>
      </c>
      <c r="BF31" s="65">
        <f>(1-CC31)/SUM($BL31:CC31)</f>
        <v>4.2332919192197789E-2</v>
      </c>
      <c r="BG31" s="65">
        <f>(1-CD31)/SUM($BL31:CD31)</f>
        <v>4.2683189882778964E-2</v>
      </c>
      <c r="BH31" s="65">
        <f>(1-CE31)/SUM($BL31:CE31)</f>
        <v>4.3024733243832283E-2</v>
      </c>
      <c r="BI31" s="66"/>
      <c r="BJ31" s="67"/>
      <c r="BK31" s="47"/>
      <c r="BL31" s="6">
        <f t="shared" ref="BL31:BL55" si="54">1/(1+T31)^T$9</f>
        <v>0.96602833744313821</v>
      </c>
      <c r="BM31" s="5">
        <f t="shared" ref="BM31:BM55" si="55">1/(1+U31)^U$9</f>
        <v>0.93233543460443635</v>
      </c>
      <c r="BN31" s="5">
        <f t="shared" ref="BN31:BN55" si="56">1/(1+V31)^V$9</f>
        <v>0.89897426732554997</v>
      </c>
      <c r="BO31" s="5">
        <f t="shared" ref="BO31:BO55" si="57">1/(1+W31)^W$9</f>
        <v>0.86599495799287352</v>
      </c>
      <c r="BP31" s="5">
        <f t="shared" ref="BP31:BP55" si="58">1/(1+X31)^X$9</f>
        <v>0.83344469467798132</v>
      </c>
      <c r="BQ31" s="5">
        <f t="shared" ref="BQ31:BQ55" si="59">1/(1+Y31)^Y$9</f>
        <v>0.80136766700507756</v>
      </c>
      <c r="BR31" s="5">
        <f t="shared" ref="BR31:BR55" si="60">1/(1+Z31)^Z$9</f>
        <v>0.7698050184559867</v>
      </c>
      <c r="BS31" s="5">
        <f t="shared" ref="BS31:BS55" si="61">1/(1+AA31)^AA$9</f>
        <v>0.73879481472769504</v>
      </c>
      <c r="BT31" s="5">
        <f t="shared" ref="BT31:BT55" si="62">1/(1+AB31)^AB$9</f>
        <v>0.70837202766860186</v>
      </c>
      <c r="BU31" s="5">
        <f t="shared" ref="BU31:BU55" si="63">1/(1+AC31)^AC$9</f>
        <v>0.67856853423803243</v>
      </c>
      <c r="BV31" s="5">
        <f t="shared" ref="BV31:BV55" si="64">1/(1+AD31)^AD$9</f>
        <v>0.64941312985941801</v>
      </c>
      <c r="BW31" s="5">
        <f t="shared" ref="BW31:BW55" si="65">1/(1+AE31)^AE$9</f>
        <v>0.62093155547131118</v>
      </c>
      <c r="BX31" s="5">
        <f t="shared" ref="BX31:BX55" si="66">1/(1+AF31)^AF$9</f>
        <v>0.59314653752223157</v>
      </c>
      <c r="BY31" s="5">
        <f t="shared" ref="BY31:BY55" si="67">1/(1+AG31)^AG$9</f>
        <v>0.56607784010532158</v>
      </c>
      <c r="BZ31" s="5">
        <f t="shared" ref="BZ31:BZ55" si="68">1/(1+AH31)^AH$9</f>
        <v>0.53974232838703584</v>
      </c>
      <c r="CA31" s="5">
        <f t="shared" ref="CA31:CA55" si="69">1/(1+AI31)^AI$9</f>
        <v>0.51415404245041596</v>
      </c>
      <c r="CB31" s="5">
        <f t="shared" ref="CB31:CB55" si="70">1/(1+AJ31)^AJ$9</f>
        <v>0.4893242806482227</v>
      </c>
      <c r="CC31" s="5">
        <f t="shared" ref="CC31:CC55" si="71">1/(1+AK31)^AK$9</f>
        <v>0.46526169154327829</v>
      </c>
      <c r="CD31" s="5">
        <f t="shared" ref="CD31:CD55" si="72">1/(1+AL31)^AL$9</f>
        <v>0.44197237350375757</v>
      </c>
      <c r="CE31" s="5">
        <f t="shared" ref="CE31:CE55" si="73">1/(1+AM31)^AM$9</f>
        <v>0.4194599810184258</v>
      </c>
    </row>
    <row r="32" spans="1:83" ht="14.25" customHeight="1">
      <c r="A32" s="49"/>
      <c r="B32" s="3" t="str">
        <f>INDEX(Équivalences!$C$2:$D$397,MATCH("Construction of Implied Forward Par Yield Curves - Steps",Équivalences!$C$2:$C$397,0), langue)</f>
        <v>Construction de la courbe des rendements au pair à terme implicites</v>
      </c>
      <c r="C32" s="6"/>
      <c r="D32" s="6"/>
      <c r="E32" s="6"/>
      <c r="F32" s="6"/>
      <c r="G32" s="6"/>
      <c r="H32" s="6"/>
      <c r="I32" s="6"/>
      <c r="J32" s="6"/>
      <c r="K32" s="14"/>
      <c r="M32" s="24"/>
      <c r="N32" s="42">
        <f t="shared" si="25"/>
        <v>22</v>
      </c>
      <c r="O32" s="50">
        <f>(O$30*($N$35-$N32)+O$35*($N32-$N$30))/($N$35-$N$30)</f>
        <v>2.1800000000000003E-2</v>
      </c>
      <c r="P32" s="51">
        <f t="shared" si="23"/>
        <v>17.037290300355394</v>
      </c>
      <c r="Q32" s="52">
        <f t="shared" si="51"/>
        <v>2.2329586848481187E-2</v>
      </c>
      <c r="R32" s="64">
        <f t="shared" si="52"/>
        <v>2.4961641791366909E-2</v>
      </c>
      <c r="S32" s="6"/>
      <c r="T32" s="65">
        <f t="shared" si="0"/>
        <v>3.6138176870856631E-2</v>
      </c>
      <c r="U32" s="65">
        <f t="shared" si="4"/>
        <v>3.6624103648206896E-2</v>
      </c>
      <c r="V32" s="65">
        <f t="shared" si="5"/>
        <v>3.7110029636046704E-2</v>
      </c>
      <c r="W32" s="65">
        <f t="shared" si="6"/>
        <v>3.759595483493583E-2</v>
      </c>
      <c r="X32" s="65">
        <f t="shared" si="7"/>
        <v>3.8081879245433603E-2</v>
      </c>
      <c r="Y32" s="65">
        <f t="shared" si="8"/>
        <v>3.8567802868098022E-2</v>
      </c>
      <c r="Z32" s="65">
        <f t="shared" si="9"/>
        <v>3.9053725703484865E-2</v>
      </c>
      <c r="AA32" s="65">
        <f t="shared" si="10"/>
        <v>3.9539647752151907E-2</v>
      </c>
      <c r="AB32" s="65">
        <f t="shared" si="11"/>
        <v>4.0025569014655149E-2</v>
      </c>
      <c r="AC32" s="65">
        <f t="shared" si="12"/>
        <v>4.0511489491549479E-2</v>
      </c>
      <c r="AD32" s="65">
        <f t="shared" si="13"/>
        <v>4.0997409183390232E-2</v>
      </c>
      <c r="AE32" s="65">
        <f t="shared" si="14"/>
        <v>4.1483328090731186E-2</v>
      </c>
      <c r="AF32" s="65">
        <f t="shared" si="15"/>
        <v>4.1969246214126121E-2</v>
      </c>
      <c r="AG32" s="65">
        <f t="shared" ref="AG32:AG54" si="74">((1+$R46)^$N46/(1+$R32)^$N32)^(1/($N46-$N32))-1</f>
        <v>4.245516355412704E-2</v>
      </c>
      <c r="AH32" s="65">
        <f t="shared" si="53"/>
        <v>4.2941080111287944E-2</v>
      </c>
      <c r="AI32" s="65">
        <f t="shared" si="50"/>
        <v>4.3426995886159725E-2</v>
      </c>
      <c r="AJ32" s="65">
        <f t="shared" si="49"/>
        <v>4.3912910879293054E-2</v>
      </c>
      <c r="AK32" s="65">
        <f t="shared" si="48"/>
        <v>4.4398825091238603E-2</v>
      </c>
      <c r="AL32" s="65">
        <f t="shared" si="47"/>
        <v>4.4884738522546375E-2</v>
      </c>
      <c r="AM32" s="65">
        <f t="shared" si="46"/>
        <v>4.5370651173765264E-2</v>
      </c>
      <c r="AN32" s="6"/>
      <c r="AO32" s="65">
        <f>(1-BL32)/SUM($BL32:BL32)</f>
        <v>3.6138176870856659E-2</v>
      </c>
      <c r="AP32" s="65">
        <f>(1-BM32)/SUM($BL32:BM32)</f>
        <v>3.661536333637111E-2</v>
      </c>
      <c r="AQ32" s="65">
        <f>(1-BN32)/SUM($BL32:BN32)</f>
        <v>3.7086422211247645E-2</v>
      </c>
      <c r="AR32" s="65">
        <f>(1-BO32)/SUM($BL32:BO32)</f>
        <v>3.7551134178468525E-2</v>
      </c>
      <c r="AS32" s="65">
        <f>(1-BP32)/SUM($BL32:BP32)</f>
        <v>3.8009284979338094E-2</v>
      </c>
      <c r="AT32" s="65">
        <f>(1-BQ32)/SUM($BL32:BQ32)</f>
        <v>3.846066589147084E-2</v>
      </c>
      <c r="AU32" s="65">
        <f>(1-BR32)/SUM($BL32:BR32)</f>
        <v>3.8905074216892252E-2</v>
      </c>
      <c r="AV32" s="65">
        <f>(1-BS32)/SUM($BL32:BS32)</f>
        <v>3.9342313778130571E-2</v>
      </c>
      <c r="AW32" s="65">
        <f>(1-BT32)/SUM($BL32:BT32)</f>
        <v>3.9772195419924203E-2</v>
      </c>
      <c r="AX32" s="65">
        <f>(1-BU32)/SUM($BL32:BU32)</f>
        <v>4.0194537513970063E-2</v>
      </c>
      <c r="AY32" s="65">
        <f>(1-BV32)/SUM($BL32:BV32)</f>
        <v>4.0609166463905007E-2</v>
      </c>
      <c r="AZ32" s="65">
        <f>(1-BW32)/SUM($BL32:BW32)</f>
        <v>4.1015917207508898E-2</v>
      </c>
      <c r="BA32" s="65">
        <f>(1-BX32)/SUM($BL32:BX32)</f>
        <v>4.1414633712942017E-2</v>
      </c>
      <c r="BB32" s="65">
        <f>(1-BY32)/SUM($BL32:BY32)</f>
        <v>4.1805169465647933E-2</v>
      </c>
      <c r="BC32" s="65">
        <f>(1-BZ32)/SUM($BL32:BZ32)</f>
        <v>4.2187387942429093E-2</v>
      </c>
      <c r="BD32" s="65">
        <f>(1-CA32)/SUM($BL32:CA32)</f>
        <v>4.256116306906646E-2</v>
      </c>
      <c r="BE32" s="65">
        <f>(1-CB32)/SUM($BL32:CB32)</f>
        <v>4.2926379657800169E-2</v>
      </c>
      <c r="BF32" s="65">
        <f>(1-CC32)/SUM($BL32:CC32)</f>
        <v>4.3282933820920966E-2</v>
      </c>
      <c r="BG32" s="65">
        <f>(1-CD32)/SUM($BL32:CD32)</f>
        <v>4.3630733356725244E-2</v>
      </c>
      <c r="BH32" s="65">
        <f>(1-CE32)/SUM($BL32:CE32)</f>
        <v>4.3969698104122212E-2</v>
      </c>
      <c r="BI32" s="14"/>
      <c r="BJ32" s="67"/>
      <c r="BK32" s="47"/>
      <c r="BL32" s="6">
        <f t="shared" si="54"/>
        <v>0.96512224172649042</v>
      </c>
      <c r="BM32" s="5">
        <f t="shared" si="55"/>
        <v>0.93058788493196265</v>
      </c>
      <c r="BN32" s="5">
        <f t="shared" si="56"/>
        <v>0.89644881462273562</v>
      </c>
      <c r="BO32" s="5">
        <f t="shared" si="57"/>
        <v>0.86275387830125494</v>
      </c>
      <c r="BP32" s="5">
        <f t="shared" si="58"/>
        <v>0.82954881957823223</v>
      </c>
      <c r="BQ32" s="5">
        <f t="shared" si="59"/>
        <v>0.79687622880037701</v>
      </c>
      <c r="BR32" s="5">
        <f t="shared" si="60"/>
        <v>0.76477551029519553</v>
      </c>
      <c r="BS32" s="5">
        <f t="shared" si="61"/>
        <v>0.73328286574232815</v>
      </c>
      <c r="BT32" s="5">
        <f t="shared" si="62"/>
        <v>0.702431293096485</v>
      </c>
      <c r="BU32" s="5">
        <f t="shared" si="63"/>
        <v>0.67225060041020157</v>
      </c>
      <c r="BV32" s="5">
        <f t="shared" si="64"/>
        <v>0.64276743383613177</v>
      </c>
      <c r="BW32" s="5">
        <f t="shared" si="65"/>
        <v>0.61400531902838185</v>
      </c>
      <c r="BX32" s="5">
        <f t="shared" si="66"/>
        <v>0.58598471511053596</v>
      </c>
      <c r="BY32" s="5">
        <f t="shared" si="67"/>
        <v>0.55872308033490292</v>
      </c>
      <c r="BZ32" s="5">
        <f t="shared" si="68"/>
        <v>0.53223494852259501</v>
      </c>
      <c r="CA32" s="5">
        <f t="shared" si="69"/>
        <v>0.50653201534786785</v>
      </c>
      <c r="CB32" s="5">
        <f t="shared" si="70"/>
        <v>0.48162323351168218</v>
      </c>
      <c r="CC32" s="5">
        <f t="shared" si="71"/>
        <v>0.45751491583938392</v>
      </c>
      <c r="CD32" s="5">
        <f t="shared" si="72"/>
        <v>0.43421084533466414</v>
      </c>
      <c r="CE32" s="5">
        <f t="shared" si="73"/>
        <v>0.41171239122655107</v>
      </c>
    </row>
    <row r="33" spans="1:83" ht="14.25" customHeight="1">
      <c r="A33" s="49"/>
      <c r="B33" s="68"/>
      <c r="C33" s="6"/>
      <c r="D33" s="6"/>
      <c r="E33" s="6"/>
      <c r="F33" s="6"/>
      <c r="G33" s="6"/>
      <c r="H33" s="6"/>
      <c r="I33" s="6"/>
      <c r="J33" s="6"/>
      <c r="K33" s="14"/>
      <c r="M33" s="24"/>
      <c r="N33" s="42">
        <f t="shared" si="25"/>
        <v>23</v>
      </c>
      <c r="O33" s="50">
        <f>(O$30*($N$35-$N33)+O$35*($N33-$N$30))/($N$35-$N$30)</f>
        <v>2.12E-2</v>
      </c>
      <c r="P33" s="51">
        <f t="shared" si="23"/>
        <v>17.652466530001366</v>
      </c>
      <c r="Q33" s="52">
        <f t="shared" si="51"/>
        <v>2.1521999917226697E-2</v>
      </c>
      <c r="R33" s="64">
        <f t="shared" si="52"/>
        <v>2.5445061760481273E-2</v>
      </c>
      <c r="S33" s="6"/>
      <c r="T33" s="65">
        <f t="shared" si="0"/>
        <v>3.7110258314885458E-2</v>
      </c>
      <c r="U33" s="65">
        <f t="shared" si="4"/>
        <v>3.7596297798659695E-2</v>
      </c>
      <c r="V33" s="65">
        <f t="shared" si="5"/>
        <v>3.8082336457721633E-2</v>
      </c>
      <c r="W33" s="65">
        <f t="shared" si="6"/>
        <v>3.856837429265525E-2</v>
      </c>
      <c r="X33" s="65">
        <f t="shared" si="7"/>
        <v>3.9054411304044079E-2</v>
      </c>
      <c r="Y33" s="65">
        <f t="shared" si="8"/>
        <v>3.9540447492469211E-2</v>
      </c>
      <c r="Z33" s="65">
        <f t="shared" si="9"/>
        <v>4.002648285851329E-2</v>
      </c>
      <c r="AA33" s="65">
        <f t="shared" si="10"/>
        <v>4.0512517402757853E-2</v>
      </c>
      <c r="AB33" s="65">
        <f t="shared" si="11"/>
        <v>4.09985511257831E-2</v>
      </c>
      <c r="AC33" s="65">
        <f t="shared" si="12"/>
        <v>4.1484584028169458E-2</v>
      </c>
      <c r="AD33" s="65">
        <f t="shared" si="13"/>
        <v>4.1970616110495573E-2</v>
      </c>
      <c r="AE33" s="65">
        <f t="shared" si="14"/>
        <v>4.2456647373340761E-2</v>
      </c>
      <c r="AF33" s="65">
        <f t="shared" ref="AF33:AF54" si="75">((1+$R46)^$N46/(1+$R33)^$N33)^(1/($N46-$N33))-1</f>
        <v>4.2942677817281893E-2</v>
      </c>
      <c r="AG33" s="65">
        <f t="shared" si="74"/>
        <v>4.3428707442898062E-2</v>
      </c>
      <c r="AH33" s="65">
        <f t="shared" si="53"/>
        <v>4.3914736250765252E-2</v>
      </c>
      <c r="AI33" s="65">
        <f t="shared" si="50"/>
        <v>4.4400764241459445E-2</v>
      </c>
      <c r="AJ33" s="65">
        <f t="shared" si="49"/>
        <v>4.488679141555596E-2</v>
      </c>
      <c r="AK33" s="65">
        <f t="shared" si="48"/>
        <v>4.537281777362967E-2</v>
      </c>
      <c r="AL33" s="65">
        <f t="shared" si="47"/>
        <v>4.5858843316254783E-2</v>
      </c>
      <c r="AM33" s="65">
        <f t="shared" si="46"/>
        <v>4.6344868044004839E-2</v>
      </c>
      <c r="AN33" s="6"/>
      <c r="AO33" s="65">
        <f>(1-BL33)/SUM($BL33:BL33)</f>
        <v>3.7110258314885396E-2</v>
      </c>
      <c r="AP33" s="65">
        <f>(1-BM33)/SUM($BL33:BM33)</f>
        <v>3.7587327676829041E-2</v>
      </c>
      <c r="AQ33" s="65">
        <f>(1-BN33)/SUM($BL33:BN33)</f>
        <v>3.8058116593907433E-2</v>
      </c>
      <c r="AR33" s="65">
        <f>(1-BO33)/SUM($BL33:BO33)</f>
        <v>3.8522406292243239E-2</v>
      </c>
      <c r="AS33" s="65">
        <f>(1-BP33)/SUM($BL33:BP33)</f>
        <v>3.8979983275972151E-2</v>
      </c>
      <c r="AT33" s="65">
        <f>(1-BQ33)/SUM($BL33:BQ33)</f>
        <v>3.9430639819641351E-2</v>
      </c>
      <c r="AU33" s="65">
        <f>(1-BR33)/SUM($BL33:BR33)</f>
        <v>3.9874174470202944E-2</v>
      </c>
      <c r="AV33" s="65">
        <f>(1-BS33)/SUM($BL33:BS33)</f>
        <v>4.0310392556296856E-2</v>
      </c>
      <c r="AW33" s="65">
        <f>(1-BT33)/SUM($BL33:BT33)</f>
        <v>4.0739106702304059E-2</v>
      </c>
      <c r="AX33" s="65">
        <f>(1-BU33)/SUM($BL33:BU33)</f>
        <v>4.1160137344408737E-2</v>
      </c>
      <c r="AY33" s="65">
        <f>(1-BV33)/SUM($BL33:BV33)</f>
        <v>4.1573313245685729E-2</v>
      </c>
      <c r="AZ33" s="65">
        <f>(1-BW33)/SUM($BL33:BW33)</f>
        <v>4.1978472007040676E-2</v>
      </c>
      <c r="BA33" s="65">
        <f>(1-BX33)/SUM($BL33:BX33)</f>
        <v>4.2375460570627251E-2</v>
      </c>
      <c r="BB33" s="65">
        <f>(1-BY33)/SUM($BL33:BY33)</f>
        <v>4.2764135712225683E-2</v>
      </c>
      <c r="BC33" s="65">
        <f>(1-BZ33)/SUM($BL33:BZ33)</f>
        <v>4.3144364518909073E-2</v>
      </c>
      <c r="BD33" s="65">
        <f>(1-CA33)/SUM($BL33:CA33)</f>
        <v>4.351602484824673E-2</v>
      </c>
      <c r="BE33" s="65">
        <f>(1-CB33)/SUM($BL33:CB33)</f>
        <v>4.3879005765207452E-2</v>
      </c>
      <c r="BF33" s="65">
        <f>(1-CC33)/SUM($BL33:CC33)</f>
        <v>4.4233207952904405E-2</v>
      </c>
      <c r="BG33" s="65">
        <f>(1-CD33)/SUM($BL33:CD33)</f>
        <v>4.457854409333524E-2</v>
      </c>
      <c r="BH33" s="65">
        <f>(1-CE33)/SUM($BL33:CE33)</f>
        <v>4.4914939214329944E-2</v>
      </c>
      <c r="BI33" s="14"/>
      <c r="BJ33" s="67"/>
      <c r="BK33" s="47"/>
      <c r="BL33" s="6">
        <f t="shared" si="54"/>
        <v>0.9642176345115101</v>
      </c>
      <c r="BM33" s="5">
        <f t="shared" si="55"/>
        <v>0.92884484044124194</v>
      </c>
      <c r="BN33" s="5">
        <f t="shared" si="56"/>
        <v>0.8939322305513232</v>
      </c>
      <c r="BO33" s="5">
        <f t="shared" si="57"/>
        <v>0.85952720154316076</v>
      </c>
      <c r="BP33" s="5">
        <f t="shared" si="58"/>
        <v>0.82567388290094679</v>
      </c>
      <c r="BQ33" s="5">
        <f t="shared" si="59"/>
        <v>0.79241310295274281</v>
      </c>
      <c r="BR33" s="5">
        <f t="shared" si="60"/>
        <v>0.75978237164089302</v>
      </c>
      <c r="BS33" s="5">
        <f t="shared" si="61"/>
        <v>0.72781587940603021</v>
      </c>
      <c r="BT33" s="5">
        <f t="shared" si="62"/>
        <v>0.69654451150936458</v>
      </c>
      <c r="BU33" s="5">
        <f t="shared" si="63"/>
        <v>0.66599587704692764</v>
      </c>
      <c r="BV33" s="5">
        <f t="shared" si="64"/>
        <v>0.63619435184707551</v>
      </c>
      <c r="BW33" s="5">
        <f t="shared" si="65"/>
        <v>0.60716113438881858</v>
      </c>
      <c r="BX33" s="5">
        <f t="shared" si="66"/>
        <v>0.57891431383387471</v>
      </c>
      <c r="BY33" s="5">
        <f t="shared" si="67"/>
        <v>0.55146894922915635</v>
      </c>
      <c r="BZ33" s="5">
        <f t="shared" si="68"/>
        <v>0.52483715890926153</v>
      </c>
      <c r="CA33" s="5">
        <f t="shared" si="69"/>
        <v>0.49902821910944156</v>
      </c>
      <c r="CB33" s="5">
        <f t="shared" si="70"/>
        <v>0.47404867078904361</v>
      </c>
      <c r="CC33" s="5">
        <f t="shared" si="71"/>
        <v>0.44990243366261373</v>
      </c>
      <c r="CD33" s="5">
        <f t="shared" si="72"/>
        <v>0.4265909264406203</v>
      </c>
      <c r="CE33" s="5">
        <f t="shared" si="73"/>
        <v>0.40411319229361398</v>
      </c>
    </row>
    <row r="34" spans="1:83" ht="14.25" customHeight="1">
      <c r="A34" s="49"/>
      <c r="B34" s="69" t="str">
        <f>INDEX(Équivalences!$C$2:$D$397,MATCH("Step 1: Obtain current par yield curve from an appropriate source",Équivalences!$C$2:$C$397,0), langue)</f>
        <v>Étape 1 : Obtenir la courbe actuelle des rendements au pair auprès des sources pertinentes (p. ex. Bloomberg).</v>
      </c>
      <c r="C34" s="69"/>
      <c r="D34" s="69"/>
      <c r="E34" s="69"/>
      <c r="F34" s="69"/>
      <c r="G34" s="69"/>
      <c r="H34" s="69"/>
      <c r="I34" s="69"/>
      <c r="J34" s="69"/>
      <c r="K34" s="14"/>
      <c r="M34" s="24"/>
      <c r="N34" s="42">
        <f t="shared" si="25"/>
        <v>24</v>
      </c>
      <c r="O34" s="50">
        <f>(O$30*($N$35-$N34)+O$35*($N34-$N$30))/($N$35-$N$30)</f>
        <v>2.06E-2</v>
      </c>
      <c r="P34" s="51">
        <f t="shared" si="23"/>
        <v>18.265243370545797</v>
      </c>
      <c r="Q34" s="52">
        <f t="shared" si="51"/>
        <v>2.0729379315416407E-2</v>
      </c>
      <c r="R34" s="64">
        <f t="shared" si="52"/>
        <v>2.5928481729595634E-2</v>
      </c>
      <c r="S34" s="6"/>
      <c r="T34" s="65">
        <f t="shared" si="0"/>
        <v>3.8082565063789042E-2</v>
      </c>
      <c r="U34" s="65">
        <f t="shared" si="4"/>
        <v>3.856871714723642E-2</v>
      </c>
      <c r="V34" s="65">
        <f t="shared" si="5"/>
        <v>3.9054868370827611E-2</v>
      </c>
      <c r="W34" s="65">
        <f t="shared" si="6"/>
        <v>3.9541018735171241E-2</v>
      </c>
      <c r="X34" s="65">
        <f t="shared" si="7"/>
        <v>4.0027168240873046E-2</v>
      </c>
      <c r="Y34" s="65">
        <f t="shared" si="8"/>
        <v>4.0513316888541206E-2</v>
      </c>
      <c r="Z34" s="65">
        <f t="shared" si="9"/>
        <v>4.0999464678782793E-2</v>
      </c>
      <c r="AA34" s="65">
        <f t="shared" si="10"/>
        <v>4.1485611612203321E-2</v>
      </c>
      <c r="AB34" s="65">
        <f t="shared" si="11"/>
        <v>4.1971757689407863E-2</v>
      </c>
      <c r="AC34" s="65">
        <f t="shared" si="12"/>
        <v>4.24579029110006E-2</v>
      </c>
      <c r="AD34" s="65">
        <f t="shared" si="13"/>
        <v>4.2944047277586161E-2</v>
      </c>
      <c r="AE34" s="65">
        <f t="shared" ref="AE34:AE54" si="76">((1+$R46)^$N46/(1+$R34)^$N34)^(1/($N46-$N34))-1</f>
        <v>4.3430190789766066E-2</v>
      </c>
      <c r="AF34" s="65">
        <f t="shared" si="75"/>
        <v>4.391633344814494E-2</v>
      </c>
      <c r="AG34" s="65">
        <f t="shared" si="74"/>
        <v>4.4402475253323415E-2</v>
      </c>
      <c r="AH34" s="65">
        <f t="shared" si="53"/>
        <v>4.4888616205902565E-2</v>
      </c>
      <c r="AI34" s="65">
        <f t="shared" si="50"/>
        <v>4.53747563064828E-2</v>
      </c>
      <c r="AJ34" s="65">
        <f t="shared" si="49"/>
        <v>4.5860895555664083E-2</v>
      </c>
      <c r="AK34" s="65">
        <f t="shared" si="48"/>
        <v>4.6347033954045269E-2</v>
      </c>
      <c r="AL34" s="65">
        <f t="shared" si="47"/>
        <v>4.6833171502224991E-2</v>
      </c>
      <c r="AM34" s="65">
        <f t="shared" si="46"/>
        <v>4.7319308200800769E-2</v>
      </c>
      <c r="AN34" s="41"/>
      <c r="AO34" s="65">
        <f>(1-BL34)/SUM($BL34:BL34)</f>
        <v>3.8082565063789049E-2</v>
      </c>
      <c r="AP34" s="65">
        <f>(1-BM34)/SUM($BL34:BM34)</f>
        <v>3.8559517276522397E-2</v>
      </c>
      <c r="AQ34" s="65">
        <f>(1-BN34)/SUM($BL34:BN34)</f>
        <v>3.9030036241704834E-2</v>
      </c>
      <c r="AR34" s="65">
        <f>(1-BO34)/SUM($BL34:BO34)</f>
        <v>3.9493903745052662E-2</v>
      </c>
      <c r="AS34" s="65">
        <f>(1-BP34)/SUM($BL34:BP34)</f>
        <v>3.9950907077025401E-2</v>
      </c>
      <c r="AT34" s="65">
        <f>(1-BQ34)/SUM($BL34:BQ34)</f>
        <v>4.0400839539846536E-2</v>
      </c>
      <c r="AU34" s="65">
        <f>(1-BR34)/SUM($BL34:BR34)</f>
        <v>4.0843500963515279E-2</v>
      </c>
      <c r="AV34" s="65">
        <f>(1-BS34)/SUM($BL34:BS34)</f>
        <v>4.1278698228359154E-2</v>
      </c>
      <c r="AW34" s="65">
        <f>(1-BT34)/SUM($BL34:BT34)</f>
        <v>4.1706245791420571E-2</v>
      </c>
      <c r="AX34" s="65">
        <f>(1-BU34)/SUM($BL34:BU34)</f>
        <v>4.2125966213736925E-2</v>
      </c>
      <c r="AY34" s="65">
        <f>(1-BV34)/SUM($BL34:BV34)</f>
        <v>4.2537690685361694E-2</v>
      </c>
      <c r="AZ34" s="65">
        <f>(1-BW34)/SUM($BL34:BW34)</f>
        <v>4.2941259544759261E-2</v>
      </c>
      <c r="BA34" s="65">
        <f>(1-BX34)/SUM($BL34:BX34)</f>
        <v>4.3336522789046872E-2</v>
      </c>
      <c r="BB34" s="65">
        <f>(1-BY34)/SUM($BL34:BY34)</f>
        <v>4.3723340571369902E-2</v>
      </c>
      <c r="BC34" s="65">
        <f>(1-BZ34)/SUM($BL34:BZ34)</f>
        <v>4.4101583681611004E-2</v>
      </c>
      <c r="BD34" s="65">
        <f>(1-CA34)/SUM($BL34:CA34)</f>
        <v>4.4471134006509948E-2</v>
      </c>
      <c r="BE34" s="65">
        <f>(1-CB34)/SUM($BL34:CB34)</f>
        <v>4.4831884965237427E-2</v>
      </c>
      <c r="BF34" s="65">
        <f>(1-CC34)/SUM($BL34:CC34)</f>
        <v>4.5183741916449284E-2</v>
      </c>
      <c r="BG34" s="65">
        <f>(1-CD34)/SUM($BL34:CD34)</f>
        <v>4.5526622532883088E-2</v>
      </c>
      <c r="BH34" s="65">
        <f>(1-CE34)/SUM($BL34:CE34)</f>
        <v>4.5860457139637441E-2</v>
      </c>
      <c r="BI34" s="14"/>
      <c r="BJ34" s="67"/>
      <c r="BK34" s="47"/>
      <c r="BL34" s="6">
        <f t="shared" si="54"/>
        <v>0.96331451240446475</v>
      </c>
      <c r="BM34" s="5">
        <f t="shared" si="55"/>
        <v>0.92710628654308469</v>
      </c>
      <c r="BN34" s="5">
        <f t="shared" si="56"/>
        <v>0.89142447802109825</v>
      </c>
      <c r="BO34" s="5">
        <f t="shared" si="57"/>
        <v>0.85631485397925533</v>
      </c>
      <c r="BP34" s="5">
        <f t="shared" si="58"/>
        <v>0.82181975789541839</v>
      </c>
      <c r="BQ34" s="5">
        <f t="shared" si="59"/>
        <v>0.78797809171558264</v>
      </c>
      <c r="BR34" s="5">
        <f t="shared" si="60"/>
        <v>0.75482531469646397</v>
      </c>
      <c r="BS34" s="5">
        <f t="shared" si="61"/>
        <v>0.72239345825929224</v>
      </c>
      <c r="BT34" s="5">
        <f t="shared" si="62"/>
        <v>0.69071115608078815</v>
      </c>
      <c r="BU34" s="5">
        <f t="shared" si="63"/>
        <v>0.65980368858259275</v>
      </c>
      <c r="BV34" s="5">
        <f t="shared" si="64"/>
        <v>0.62969304092474665</v>
      </c>
      <c r="BW34" s="5">
        <f t="shared" si="65"/>
        <v>0.60039797356243485</v>
      </c>
      <c r="BX34" s="5">
        <f t="shared" si="66"/>
        <v>0.57193410438768744</v>
      </c>
      <c r="BY34" s="5">
        <f t="shared" si="67"/>
        <v>0.54431400144963438</v>
      </c>
      <c r="BZ34" s="5">
        <f t="shared" si="68"/>
        <v>0.5175472852270101</v>
      </c>
      <c r="CA34" s="5">
        <f t="shared" si="69"/>
        <v>0.49164073941585246</v>
      </c>
      <c r="CB34" s="5">
        <f t="shared" si="70"/>
        <v>0.46659842919232825</v>
      </c>
      <c r="CC34" s="5">
        <f t="shared" si="71"/>
        <v>0.44242182591561785</v>
      </c>
      <c r="CD34" s="5">
        <f t="shared" si="72"/>
        <v>0.41910993724808254</v>
      </c>
      <c r="CE34" s="5">
        <f t="shared" si="73"/>
        <v>0.39665944168914052</v>
      </c>
    </row>
    <row r="35" spans="1:83" ht="14.25" customHeight="1">
      <c r="A35" s="49"/>
      <c r="B35" s="70"/>
      <c r="C35" s="6"/>
      <c r="D35" s="6"/>
      <c r="E35" s="6"/>
      <c r="F35" s="6"/>
      <c r="G35" s="6"/>
      <c r="H35" s="6"/>
      <c r="I35" s="6"/>
      <c r="J35" s="6"/>
      <c r="K35" s="14"/>
      <c r="M35" s="24"/>
      <c r="N35" s="42">
        <f t="shared" si="25"/>
        <v>25</v>
      </c>
      <c r="O35" s="169">
        <f>'Input - Entrée de données'!D14</f>
        <v>0.02</v>
      </c>
      <c r="P35" s="51">
        <f t="shared" si="23"/>
        <v>18.876389741863409</v>
      </c>
      <c r="Q35" s="52">
        <f t="shared" si="51"/>
        <v>1.9950765660694092E-2</v>
      </c>
      <c r="R35" s="64">
        <f t="shared" si="52"/>
        <v>2.6411901698710001E-2</v>
      </c>
      <c r="S35" s="6"/>
      <c r="T35" s="65">
        <f t="shared" si="0"/>
        <v>3.9055096904142772E-2</v>
      </c>
      <c r="U35" s="65">
        <f t="shared" si="4"/>
        <v>3.9541361480638582E-2</v>
      </c>
      <c r="V35" s="65">
        <f t="shared" si="5"/>
        <v>4.0027625162192049E-2</v>
      </c>
      <c r="W35" s="65">
        <f t="shared" si="6"/>
        <v>4.0513887949434224E-2</v>
      </c>
      <c r="X35" s="65">
        <f t="shared" si="7"/>
        <v>4.1000149842999045E-2</v>
      </c>
      <c r="Y35" s="65">
        <f t="shared" si="8"/>
        <v>4.1486410843518895E-2</v>
      </c>
      <c r="Z35" s="65">
        <f t="shared" si="9"/>
        <v>4.1972670951624158E-2</v>
      </c>
      <c r="AA35" s="65">
        <f t="shared" si="10"/>
        <v>4.2458930167945219E-2</v>
      </c>
      <c r="AB35" s="65">
        <f t="shared" si="11"/>
        <v>4.2945188493111575E-2</v>
      </c>
      <c r="AC35" s="65">
        <f t="shared" si="12"/>
        <v>4.3431445927752721E-2</v>
      </c>
      <c r="AD35" s="65">
        <f t="shared" si="13"/>
        <v>4.3917702472495268E-2</v>
      </c>
      <c r="AE35" s="65">
        <f t="shared" si="76"/>
        <v>4.4403958127969378E-2</v>
      </c>
      <c r="AF35" s="65">
        <f t="shared" si="75"/>
        <v>4.4890212894800108E-2</v>
      </c>
      <c r="AG35" s="65">
        <f t="shared" si="74"/>
        <v>4.5376466773614066E-2</v>
      </c>
      <c r="AH35" s="65">
        <f t="shared" si="53"/>
        <v>4.5862719765036308E-2</v>
      </c>
      <c r="AI35" s="65">
        <f t="shared" si="50"/>
        <v>4.6348971869691891E-2</v>
      </c>
      <c r="AJ35" s="65">
        <f t="shared" si="49"/>
        <v>4.6835223088204536E-2</v>
      </c>
      <c r="AK35" s="65">
        <f t="shared" si="48"/>
        <v>4.7321473421197746E-2</v>
      </c>
      <c r="AL35" s="65">
        <f t="shared" si="47"/>
        <v>4.7807722869293912E-2</v>
      </c>
      <c r="AM35" s="65">
        <f t="shared" si="46"/>
        <v>4.8293971433114979E-2</v>
      </c>
      <c r="AN35" s="41"/>
      <c r="AO35" s="65">
        <f>(1-BL35)/SUM($BL35:BL35)</f>
        <v>3.9055096904142814E-2</v>
      </c>
      <c r="AP35" s="65">
        <f>(1-BM35)/SUM($BL35:BM35)</f>
        <v>3.9531931922304149E-2</v>
      </c>
      <c r="AQ35" s="65">
        <f>(1-BN35)/SUM($BL35:BN35)</f>
        <v>4.0002180942119187E-2</v>
      </c>
      <c r="AR35" s="65">
        <f>(1-BO35)/SUM($BL35:BO35)</f>
        <v>4.0465626325716618E-2</v>
      </c>
      <c r="AS35" s="65">
        <f>(1-BP35)/SUM($BL35:BP35)</f>
        <v>4.0922056173884024E-2</v>
      </c>
      <c r="AT35" s="65">
        <f>(1-BQ35)/SUM($BL35:BQ35)</f>
        <v>4.1371264847890298E-2</v>
      </c>
      <c r="AU35" s="65">
        <f>(1-BR35)/SUM($BL35:BR35)</f>
        <v>4.1813053499653204E-2</v>
      </c>
      <c r="AV35" s="65">
        <f>(1-BS35)/SUM($BL35:BS35)</f>
        <v>4.224723060761295E-2</v>
      </c>
      <c r="AW35" s="65">
        <f>(1-BT35)/SUM($BL35:BT35)</f>
        <v>4.2673612515422545E-2</v>
      </c>
      <c r="AX35" s="65">
        <f>(1-BU35)/SUM($BL35:BU35)</f>
        <v>4.3092023970337484E-2</v>
      </c>
      <c r="AY35" s="65">
        <f>(1-BV35)/SUM($BL35:BV35)</f>
        <v>4.3502298657957773E-2</v>
      </c>
      <c r="AZ35" s="65">
        <f>(1-BW35)/SUM($BL35:BW35)</f>
        <v>4.3904279729793973E-2</v>
      </c>
      <c r="BA35" s="65">
        <f>(1-BX35)/SUM($BL35:BX35)</f>
        <v>4.4297820319918031E-2</v>
      </c>
      <c r="BB35" s="65">
        <f>(1-BY35)/SUM($BL35:BY35)</f>
        <v>4.4682784046860255E-2</v>
      </c>
      <c r="BC35" s="65">
        <f>(1-BZ35)/SUM($BL35:BZ35)</f>
        <v>4.5059045496753283E-2</v>
      </c>
      <c r="BD35" s="65">
        <f>(1-CA35)/SUM($BL35:CA35)</f>
        <v>4.5426490683680334E-2</v>
      </c>
      <c r="BE35" s="65">
        <f>(1-CB35)/SUM($BL35:CB35)</f>
        <v>4.5785017483130609E-2</v>
      </c>
      <c r="BF35" s="65">
        <f>(1-CC35)/SUM($BL35:CC35)</f>
        <v>4.6134536034484155E-2</v>
      </c>
      <c r="BG35" s="65">
        <f>(1-CD35)/SUM($BL35:CD35)</f>
        <v>4.6474969108499312E-2</v>
      </c>
      <c r="BH35" s="65">
        <f>(1-CE35)/SUM($BL35:CE35)</f>
        <v>4.6806252435885758E-2</v>
      </c>
      <c r="BI35" s="14"/>
      <c r="BJ35" s="67"/>
      <c r="BK35" s="47"/>
      <c r="BL35" s="6">
        <f t="shared" si="54"/>
        <v>0.96241287202140946</v>
      </c>
      <c r="BM35" s="5">
        <f t="shared" si="55"/>
        <v>0.92537220870479042</v>
      </c>
      <c r="BN35" s="5">
        <f t="shared" si="56"/>
        <v>0.88892552012100945</v>
      </c>
      <c r="BO35" s="5">
        <f t="shared" si="57"/>
        <v>0.85311676229617839</v>
      </c>
      <c r="BP35" s="5">
        <f t="shared" si="58"/>
        <v>0.81798631866218252</v>
      </c>
      <c r="BQ35" s="5">
        <f t="shared" si="59"/>
        <v>0.78357099885518777</v>
      </c>
      <c r="BR35" s="5">
        <f t="shared" si="60"/>
        <v>0.74990405413510741</v>
      </c>
      <c r="BS35" s="5">
        <f t="shared" si="61"/>
        <v>0.71701520862252022</v>
      </c>
      <c r="BT35" s="5">
        <f t="shared" si="62"/>
        <v>0.68493070548236745</v>
      </c>
      <c r="BU35" s="5">
        <f t="shared" si="63"/>
        <v>0.65367336712597857</v>
      </c>
      <c r="BV35" s="5">
        <f t="shared" si="64"/>
        <v>0.62326266845479406</v>
      </c>
      <c r="BW35" s="5">
        <f t="shared" si="65"/>
        <v>0.59371482213023119</v>
      </c>
      <c r="BX35" s="5">
        <f t="shared" si="66"/>
        <v>0.56504287482497217</v>
      </c>
      <c r="BY35" s="5">
        <f t="shared" si="67"/>
        <v>0.53725681339025455</v>
      </c>
      <c r="BZ35" s="5">
        <f t="shared" si="68"/>
        <v>0.51036367986266595</v>
      </c>
      <c r="CA35" s="5">
        <f t="shared" si="69"/>
        <v>0.48436769423070664</v>
      </c>
      <c r="CB35" s="5">
        <f t="shared" si="70"/>
        <v>0.45927038388668856</v>
      </c>
      <c r="CC35" s="5">
        <f t="shared" si="71"/>
        <v>0.4350707187022127</v>
      </c>
      <c r="CD35" s="5">
        <f t="shared" si="72"/>
        <v>0.41176525068543407</v>
      </c>
      <c r="CE35" s="5">
        <f t="shared" si="73"/>
        <v>0.38934825720476451</v>
      </c>
    </row>
    <row r="36" spans="1:83" ht="14.25" customHeight="1">
      <c r="A36" s="49"/>
      <c r="B36" s="71" t="str">
        <f>INDEX(Équivalences!$C$2:$D$397,MATCH("Step 2: Interpolate the par yield curve where yields are not directly available.",Équivalences!$C$2:$C$397,0), langue)</f>
        <v>Étape 2 : Interpoler la courbe des rendements au pair quand les taux ne sont pas directement disponibles.</v>
      </c>
      <c r="C36" s="71"/>
      <c r="D36" s="71"/>
      <c r="E36" s="71"/>
      <c r="F36" s="71"/>
      <c r="G36" s="71"/>
      <c r="H36" s="71"/>
      <c r="I36" s="71"/>
      <c r="J36" s="71"/>
      <c r="K36" s="14"/>
      <c r="M36" s="24"/>
      <c r="N36" s="42">
        <f t="shared" si="25"/>
        <v>26</v>
      </c>
      <c r="O36" s="50">
        <f>(O$35*($N$40-$N36)+O$40*($N36-$N$35))/($N$40-$N$35)</f>
        <v>0.02</v>
      </c>
      <c r="P36" s="51">
        <f t="shared" si="23"/>
        <v>19.48665660967001</v>
      </c>
      <c r="Q36" s="52">
        <f t="shared" si="51"/>
        <v>1.995265924518419E-2</v>
      </c>
      <c r="R36" s="64">
        <f t="shared" si="52"/>
        <v>2.6895321667824365E-2</v>
      </c>
      <c r="S36" s="41"/>
      <c r="T36" s="65">
        <f t="shared" si="0"/>
        <v>4.0027853622774501E-2</v>
      </c>
      <c r="U36" s="65">
        <f t="shared" si="4"/>
        <v>4.0514230585818822E-2</v>
      </c>
      <c r="V36" s="65">
        <f t="shared" si="5"/>
        <v>4.1000606618890378E-2</v>
      </c>
      <c r="W36" s="65">
        <f t="shared" si="6"/>
        <v>4.148698172264953E-2</v>
      </c>
      <c r="X36" s="65">
        <f t="shared" si="7"/>
        <v>4.1973355897753972E-2</v>
      </c>
      <c r="Y36" s="65">
        <f t="shared" si="8"/>
        <v>4.2459729144858738E-2</v>
      </c>
      <c r="Z36" s="65">
        <f t="shared" si="9"/>
        <v>4.294610146462019E-2</v>
      </c>
      <c r="AA36" s="65">
        <f t="shared" si="10"/>
        <v>4.3432472857692028E-2</v>
      </c>
      <c r="AB36" s="65">
        <f t="shared" si="11"/>
        <v>4.3918843324729506E-2</v>
      </c>
      <c r="AC36" s="65">
        <f t="shared" si="12"/>
        <v>4.4405212866384103E-2</v>
      </c>
      <c r="AD36" s="65">
        <f t="shared" si="13"/>
        <v>4.4891581483311072E-2</v>
      </c>
      <c r="AE36" s="65">
        <f t="shared" si="76"/>
        <v>4.5377949176160781E-2</v>
      </c>
      <c r="AF36" s="65">
        <f t="shared" si="75"/>
        <v>4.5864315945584488E-2</v>
      </c>
      <c r="AG36" s="65">
        <f t="shared" si="74"/>
        <v>4.6350681792232118E-2</v>
      </c>
      <c r="AH36" s="65">
        <f t="shared" si="53"/>
        <v>4.6837046716754038E-2</v>
      </c>
      <c r="AI36" s="65">
        <f t="shared" si="50"/>
        <v>4.7323410719798842E-2</v>
      </c>
      <c r="AJ36" s="65">
        <f t="shared" si="49"/>
        <v>4.7809773802014899E-2</v>
      </c>
      <c r="AK36" s="65">
        <f t="shared" si="48"/>
        <v>4.8296135964049247E-2</v>
      </c>
      <c r="AL36" s="65">
        <f t="shared" si="47"/>
        <v>4.8782497206548925E-2</v>
      </c>
      <c r="AM36" s="65">
        <f t="shared" si="46"/>
        <v>4.926885753015986E-2</v>
      </c>
      <c r="AN36" s="6"/>
      <c r="AO36" s="65">
        <f>(1-BL36)/SUM($BL36:BL36)</f>
        <v>4.0027853622774473E-2</v>
      </c>
      <c r="AP36" s="65">
        <f>(1-BM36)/SUM($BL36:BM36)</f>
        <v>4.0504571401277591E-2</v>
      </c>
      <c r="AQ36" s="65">
        <f>(1-BN36)/SUM($BL36:BN36)</f>
        <v>4.0974550482875495E-2</v>
      </c>
      <c r="AR36" s="65">
        <f>(1-BO36)/SUM($BL36:BO36)</f>
        <v>4.143757382330187E-2</v>
      </c>
      <c r="AS36" s="65">
        <f>(1-BP36)/SUM($BL36:BP36)</f>
        <v>4.1893430358169746E-2</v>
      </c>
      <c r="AT36" s="65">
        <f>(1-BQ36)/SUM($BL36:BQ36)</f>
        <v>4.2341915539792989E-2</v>
      </c>
      <c r="AU36" s="65">
        <f>(1-BR36)/SUM($BL36:BR36)</f>
        <v>4.2782831881624815E-2</v>
      </c>
      <c r="AV36" s="65">
        <f>(1-BS36)/SUM($BL36:BS36)</f>
        <v>4.3215989507483989E-2</v>
      </c>
      <c r="AW36" s="65">
        <f>(1-BT36)/SUM($BL36:BT36)</f>
        <v>4.3641206702508699E-2</v>
      </c>
      <c r="AX36" s="65">
        <f>(1-BU36)/SUM($BL36:BU36)</f>
        <v>4.4058310462514655E-2</v>
      </c>
      <c r="AY36" s="65">
        <f>(1-BV36)/SUM($BL36:BV36)</f>
        <v>4.4467137038243787E-2</v>
      </c>
      <c r="AZ36" s="65">
        <f>(1-BW36)/SUM($BL36:BW36)</f>
        <v>4.4867532470755075E-2</v>
      </c>
      <c r="BA36" s="65">
        <f>(1-BX36)/SUM($BL36:BX36)</f>
        <v>4.5259353114082815E-2</v>
      </c>
      <c r="BB36" s="65">
        <f>(1-BY36)/SUM($BL36:BY36)</f>
        <v>4.5642466141110949E-2</v>
      </c>
      <c r="BC36" s="65">
        <f>(1-BZ36)/SUM($BL36:BZ36)</f>
        <v>4.6016750028534191E-2</v>
      </c>
      <c r="BD36" s="65">
        <f>(1-CA36)/SUM($BL36:CA36)</f>
        <v>4.6382095016702408E-2</v>
      </c>
      <c r="BE36" s="65">
        <f>(1-CB36)/SUM($BL36:CB36)</f>
        <v>4.673840354013685E-2</v>
      </c>
      <c r="BF36" s="65">
        <f>(1-CC36)/SUM($BL36:CC36)</f>
        <v>4.7085590624530209E-2</v>
      </c>
      <c r="BG36" s="65">
        <f>(1-CD36)/SUM($BL36:CD36)</f>
        <v>4.7423584246128359E-2</v>
      </c>
      <c r="BH36" s="65">
        <f>(1-CE36)/SUM($BL36:CE36)</f>
        <v>4.7752325649522823E-2</v>
      </c>
      <c r="BI36" s="14"/>
      <c r="BJ36" s="67"/>
      <c r="BK36" s="47"/>
      <c r="BL36" s="6">
        <f t="shared" si="54"/>
        <v>0.96151270998815686</v>
      </c>
      <c r="BM36" s="5">
        <f t="shared" si="55"/>
        <v>0.92364259244990066</v>
      </c>
      <c r="BN36" s="5">
        <f t="shared" si="56"/>
        <v>0.88643532011820414</v>
      </c>
      <c r="BO36" s="5">
        <f t="shared" si="57"/>
        <v>0.84993285360379678</v>
      </c>
      <c r="BP36" s="5">
        <f t="shared" si="58"/>
        <v>0.8141734401467523</v>
      </c>
      <c r="BQ36" s="5">
        <f t="shared" si="59"/>
        <v>0.77919162963816402</v>
      </c>
      <c r="BR36" s="5">
        <f t="shared" si="60"/>
        <v>0.74501830707701655</v>
      </c>
      <c r="BS36" s="5">
        <f t="shared" si="61"/>
        <v>0.71168074055760389</v>
      </c>
      <c r="BT36" s="5">
        <f t="shared" si="62"/>
        <v>0.67920264382274165</v>
      </c>
      <c r="BU36" s="5">
        <f t="shared" si="63"/>
        <v>0.64760425236803065</v>
      </c>
      <c r="BV36" s="5">
        <f t="shared" si="64"/>
        <v>0.6169024120419544</v>
      </c>
      <c r="BW36" s="5">
        <f t="shared" si="65"/>
        <v>0.58711067905625647</v>
      </c>
      <c r="BX36" s="5">
        <f t="shared" si="66"/>
        <v>0.55823943029962142</v>
      </c>
      <c r="BY36" s="5">
        <f t="shared" si="67"/>
        <v>0.53029598283605772</v>
      </c>
      <c r="BZ36" s="5">
        <f t="shared" si="68"/>
        <v>0.5032847214661238</v>
      </c>
      <c r="CA36" s="5">
        <f t="shared" si="69"/>
        <v>0.47720723323458608</v>
      </c>
      <c r="CB36" s="5">
        <f t="shared" si="70"/>
        <v>0.45206244778128196</v>
      </c>
      <c r="CC36" s="5">
        <f t="shared" si="71"/>
        <v>0.42784678245271202</v>
      </c>
      <c r="CD36" s="5">
        <f t="shared" si="72"/>
        <v>0.40455429111935542</v>
      </c>
      <c r="CE36" s="5">
        <f t="shared" si="73"/>
        <v>0.38217681567750023</v>
      </c>
    </row>
    <row r="37" spans="1:83" ht="14.25" customHeight="1">
      <c r="A37" s="49"/>
      <c r="B37" s="70"/>
      <c r="C37" s="13"/>
      <c r="D37" s="13"/>
      <c r="E37" s="13"/>
      <c r="F37" s="13"/>
      <c r="G37" s="13"/>
      <c r="H37" s="13"/>
      <c r="I37" s="13"/>
      <c r="J37" s="13"/>
      <c r="K37" s="14"/>
      <c r="M37" s="24"/>
      <c r="N37" s="42">
        <f t="shared" si="25"/>
        <v>27</v>
      </c>
      <c r="O37" s="50">
        <f>(O$35*($N$40-$N37)+O$40*($N37-$N$35))/($N$40-$N$35)</f>
        <v>0.02</v>
      </c>
      <c r="P37" s="51">
        <f t="shared" si="23"/>
        <v>20.084957460460796</v>
      </c>
      <c r="Q37" s="52">
        <f t="shared" si="51"/>
        <v>1.9954412567291024E-2</v>
      </c>
      <c r="R37" s="64">
        <f t="shared" si="52"/>
        <v>2.7378741636938726E-2</v>
      </c>
      <c r="S37" s="6"/>
      <c r="T37" s="65">
        <f t="shared" si="0"/>
        <v>4.100083500676166E-2</v>
      </c>
      <c r="U37" s="65">
        <f t="shared" si="4"/>
        <v>4.1487324249976476E-2</v>
      </c>
      <c r="V37" s="65">
        <f t="shared" si="5"/>
        <v>4.1973812528253163E-2</v>
      </c>
      <c r="W37" s="65">
        <f t="shared" si="6"/>
        <v>4.2460299842273841E-2</v>
      </c>
      <c r="X37" s="65">
        <f t="shared" si="7"/>
        <v>4.2946786192718855E-2</v>
      </c>
      <c r="Y37" s="65">
        <f t="shared" si="8"/>
        <v>4.3433271580269217E-2</v>
      </c>
      <c r="Z37" s="65">
        <f t="shared" si="9"/>
        <v>4.3919756005604382E-2</v>
      </c>
      <c r="AA37" s="65">
        <f t="shared" si="10"/>
        <v>4.4406239469404252E-2</v>
      </c>
      <c r="AB37" s="65">
        <f t="shared" si="11"/>
        <v>4.4892721972345617E-2</v>
      </c>
      <c r="AC37" s="65">
        <f t="shared" si="12"/>
        <v>4.5379203515108602E-2</v>
      </c>
      <c r="AD37" s="65">
        <f t="shared" si="13"/>
        <v>4.5865684098369108E-2</v>
      </c>
      <c r="AE37" s="65">
        <f t="shared" si="76"/>
        <v>4.6352163722802819E-2</v>
      </c>
      <c r="AF37" s="65">
        <f t="shared" si="75"/>
        <v>4.683864238908475E-2</v>
      </c>
      <c r="AG37" s="65">
        <f t="shared" si="74"/>
        <v>4.7325120097890583E-2</v>
      </c>
      <c r="AH37" s="65">
        <f t="shared" si="53"/>
        <v>4.7811596849893334E-2</v>
      </c>
      <c r="AI37" s="65">
        <f t="shared" si="50"/>
        <v>4.8298072645766688E-2</v>
      </c>
      <c r="AJ37" s="65">
        <f t="shared" si="49"/>
        <v>4.878454748618255E-2</v>
      </c>
      <c r="AK37" s="65">
        <f t="shared" si="48"/>
        <v>4.9271021371812385E-2</v>
      </c>
      <c r="AL37" s="65">
        <f t="shared" si="47"/>
        <v>4.975749430332721E-2</v>
      </c>
      <c r="AM37" s="65">
        <f t="shared" si="46"/>
        <v>5.024396628139649E-2</v>
      </c>
      <c r="AN37" s="6"/>
      <c r="AO37" s="65">
        <f>(1-BL37)/SUM($BL37:BL37)</f>
        <v>4.1000835006761646E-2</v>
      </c>
      <c r="AP37" s="65">
        <f>(1-BM37)/SUM($BL37:BM37)</f>
        <v>4.1477435500792414E-2</v>
      </c>
      <c r="AQ37" s="65">
        <f>(1-BN37)/SUM($BL37:BN37)</f>
        <v>4.1947144651951103E-2</v>
      </c>
      <c r="AR37" s="65">
        <f>(1-BO37)/SUM($BL37:BO37)</f>
        <v>4.2409746027119583E-2</v>
      </c>
      <c r="AS37" s="65">
        <f>(1-BP37)/SUM($BL37:BP37)</f>
        <v>4.2865029421736714E-2</v>
      </c>
      <c r="AT37" s="65">
        <f>(1-BQ37)/SUM($BL37:BQ37)</f>
        <v>4.3312791411790424E-2</v>
      </c>
      <c r="AU37" s="65">
        <f>(1-BR37)/SUM($BL37:BR37)</f>
        <v>4.3752835912620677E-2</v>
      </c>
      <c r="AV37" s="65">
        <f>(1-BS37)/SUM($BL37:BS37)</f>
        <v>4.4184974741529132E-2</v>
      </c>
      <c r="AW37" s="65">
        <f>(1-BT37)/SUM($BL37:BT37)</f>
        <v>4.4609028180922765E-2</v>
      </c>
      <c r="AX37" s="65">
        <f>(1-BU37)/SUM($BL37:BU37)</f>
        <v>4.5024825538498681E-2</v>
      </c>
      <c r="AY37" s="65">
        <f>(1-BV37)/SUM($BL37:BV37)</f>
        <v>4.5432205700726487E-2</v>
      </c>
      <c r="AZ37" s="65">
        <f>(1-BW37)/SUM($BL37:BW37)</f>
        <v>4.5831017675733512E-2</v>
      </c>
      <c r="BA37" s="65">
        <f>(1-BX37)/SUM($BL37:BX37)</f>
        <v>4.6221121121499995E-2</v>
      </c>
      <c r="BB37" s="65">
        <f>(1-BY37)/SUM($BL37:BY37)</f>
        <v>4.6602386855161416E-2</v>
      </c>
      <c r="BC37" s="65">
        <f>(1-BZ37)/SUM($BL37:BZ37)</f>
        <v>4.6974697339118521E-2</v>
      </c>
      <c r="BD37" s="65">
        <f>(1-CA37)/SUM($BL37:CA37)</f>
        <v>4.7337947139622506E-2</v>
      </c>
      <c r="BE37" s="65">
        <f>(1-CB37)/SUM($BL37:CB37)</f>
        <v>4.7692043353489727E-2</v>
      </c>
      <c r="BF37" s="65">
        <f>(1-CC37)/SUM($BL37:CC37)</f>
        <v>4.8036905998669478E-2</v>
      </c>
      <c r="BG37" s="65">
        <f>(1-CD37)/SUM($BL37:CD37)</f>
        <v>4.8372468364487393E-2</v>
      </c>
      <c r="BH37" s="65">
        <f>(1-CE37)/SUM($BL37:CE37)</f>
        <v>4.8698677317551939E-2</v>
      </c>
      <c r="BI37" s="14"/>
      <c r="BJ37" s="67"/>
      <c r="BK37" s="47"/>
      <c r="BL37" s="6">
        <f t="shared" si="54"/>
        <v>0.96061402294024545</v>
      </c>
      <c r="BM37" s="5">
        <f t="shared" si="55"/>
        <v>0.92191742335795301</v>
      </c>
      <c r="BN37" s="5">
        <f t="shared" si="56"/>
        <v>0.88395384145703659</v>
      </c>
      <c r="BO37" s="5">
        <f t="shared" si="57"/>
        <v>0.84676305543249764</v>
      </c>
      <c r="BP37" s="5">
        <f t="shared" si="58"/>
        <v>0.81038099813341136</v>
      </c>
      <c r="BQ37" s="5">
        <f t="shared" si="59"/>
        <v>0.77483979081898346</v>
      </c>
      <c r="BR37" s="5">
        <f t="shared" si="60"/>
        <v>0.74016779306679148</v>
      </c>
      <c r="BS37" s="5">
        <f t="shared" si="61"/>
        <v>0.70638966782987966</v>
      </c>
      <c r="BT37" s="5">
        <f t="shared" si="62"/>
        <v>0.67352646058730403</v>
      </c>
      <c r="BU37" s="5">
        <f t="shared" si="63"/>
        <v>0.6415956914907065</v>
      </c>
      <c r="BV37" s="5">
        <f t="shared" si="64"/>
        <v>0.61061145937788719</v>
      </c>
      <c r="BW37" s="5">
        <f t="shared" si="65"/>
        <v>0.58058455650211549</v>
      </c>
      <c r="BX37" s="5">
        <f t="shared" si="66"/>
        <v>0.55152259281376559</v>
      </c>
      <c r="BY37" s="5">
        <f t="shared" si="67"/>
        <v>0.52343012862754834</v>
      </c>
      <c r="BZ37" s="5">
        <f t="shared" si="68"/>
        <v>0.49630881451423053</v>
      </c>
      <c r="CA37" s="5">
        <f t="shared" si="69"/>
        <v>0.47015753726942539</v>
      </c>
      <c r="CB37" s="5">
        <f t="shared" si="70"/>
        <v>0.44497257083370334</v>
      </c>
      <c r="CC37" s="5">
        <f t="shared" si="71"/>
        <v>0.42074773106674523</v>
      </c>
      <c r="CD37" s="5">
        <f t="shared" si="72"/>
        <v>0.39747453331345645</v>
      </c>
      <c r="CE37" s="5">
        <f t="shared" si="73"/>
        <v>0.37514235174090715</v>
      </c>
    </row>
    <row r="38" spans="1:83" ht="14.25" customHeight="1">
      <c r="A38" s="49"/>
      <c r="B38" s="72" t="str">
        <f>INDEX(Équivalences!$C$2:$D$397,MATCH("Step 3: Derive the equivalent spot rate curve using Formula 1.",Équivalences!$C$2:$C$397,0), langue)</f>
        <v>Étape 3 : Calculer la courbe des taux immédiats équivalente selon la Formule 1.</v>
      </c>
      <c r="C38" s="72"/>
      <c r="D38" s="72"/>
      <c r="E38" s="72"/>
      <c r="F38" s="72"/>
      <c r="G38" s="72"/>
      <c r="H38" s="72"/>
      <c r="I38" s="72"/>
      <c r="J38" s="72"/>
      <c r="K38" s="14"/>
      <c r="M38" s="24"/>
      <c r="N38" s="42">
        <f t="shared" si="25"/>
        <v>28</v>
      </c>
      <c r="O38" s="50">
        <f>(O$35*($N$40-$N38)+O$40*($N38-$N$35))/($N$40-$N$35)</f>
        <v>0.02</v>
      </c>
      <c r="P38" s="51">
        <f t="shared" si="23"/>
        <v>20.671526922020391</v>
      </c>
      <c r="Q38" s="52">
        <f t="shared" si="51"/>
        <v>1.9956040654803386E-2</v>
      </c>
      <c r="R38" s="64">
        <f t="shared" si="52"/>
        <v>2.786216160605309E-2</v>
      </c>
      <c r="S38" s="6"/>
      <c r="T38" s="65">
        <f t="shared" si="0"/>
        <v>4.1974040843425708E-2</v>
      </c>
      <c r="U38" s="65">
        <f t="shared" si="4"/>
        <v>4.2460642260569115E-2</v>
      </c>
      <c r="V38" s="65">
        <f t="shared" si="5"/>
        <v>4.2947242677863873E-2</v>
      </c>
      <c r="W38" s="65">
        <f t="shared" si="6"/>
        <v>4.3433842096014752E-2</v>
      </c>
      <c r="X38" s="65">
        <f t="shared" si="7"/>
        <v>4.3920440515728743E-2</v>
      </c>
      <c r="Y38" s="65">
        <f t="shared" si="8"/>
        <v>4.4407037937709948E-2</v>
      </c>
      <c r="Z38" s="65">
        <f t="shared" si="9"/>
        <v>4.4893634362663803E-2</v>
      </c>
      <c r="AA38" s="65">
        <f t="shared" si="10"/>
        <v>4.5380229791291748E-2</v>
      </c>
      <c r="AB38" s="65">
        <f t="shared" si="11"/>
        <v>4.5866824224299441E-2</v>
      </c>
      <c r="AC38" s="65">
        <f t="shared" si="12"/>
        <v>4.6353417662387431E-2</v>
      </c>
      <c r="AD38" s="65">
        <f t="shared" si="13"/>
        <v>4.6840010106256935E-2</v>
      </c>
      <c r="AE38" s="65">
        <f t="shared" si="76"/>
        <v>4.7326601556607617E-2</v>
      </c>
      <c r="AF38" s="65">
        <f t="shared" si="75"/>
        <v>4.7813192014139805E-2</v>
      </c>
      <c r="AG38" s="65">
        <f t="shared" si="74"/>
        <v>4.8299781479552051E-2</v>
      </c>
      <c r="AH38" s="65">
        <f t="shared" si="53"/>
        <v>4.8786369953542463E-2</v>
      </c>
      <c r="AI38" s="65">
        <f t="shared" si="50"/>
        <v>4.927295743680804E-2</v>
      </c>
      <c r="AJ38" s="65">
        <f t="shared" si="49"/>
        <v>4.9759543930044892E-2</v>
      </c>
      <c r="AK38" s="65">
        <f t="shared" si="48"/>
        <v>5.0246129433949127E-2</v>
      </c>
      <c r="AL38" s="65">
        <f t="shared" si="47"/>
        <v>5.0732713949214636E-2</v>
      </c>
      <c r="AM38" s="65">
        <f t="shared" si="46"/>
        <v>5.1219297476536862E-2</v>
      </c>
      <c r="AN38" s="6"/>
      <c r="AO38" s="65">
        <f>(1-BL38)/SUM($BL38:BL38)</f>
        <v>4.1974040843425681E-2</v>
      </c>
      <c r="AP38" s="65">
        <f>(1-BM38)/SUM($BL38:BM38)</f>
        <v>4.2450524008455531E-2</v>
      </c>
      <c r="AQ38" s="65">
        <f>(1-BN38)/SUM($BL38:BN38)</f>
        <v>4.2919963237573522E-2</v>
      </c>
      <c r="AR38" s="65">
        <f>(1-BO38)/SUM($BL38:BO38)</f>
        <v>4.3382142726724617E-2</v>
      </c>
      <c r="AS38" s="65">
        <f>(1-BP38)/SUM($BL38:BP38)</f>
        <v>4.3836853156675619E-2</v>
      </c>
      <c r="AT38" s="65">
        <f>(1-BQ38)/SUM($BL38:BQ38)</f>
        <v>4.4283892260334336E-2</v>
      </c>
      <c r="AU38" s="65">
        <f>(1-BR38)/SUM($BL38:BR38)</f>
        <v>4.4723065396016413E-2</v>
      </c>
      <c r="AV38" s="65">
        <f>(1-BS38)/SUM($BL38:BS38)</f>
        <v>4.5154186123433582E-2</v>
      </c>
      <c r="AW38" s="65">
        <f>(1-BT38)/SUM($BL38:BT38)</f>
        <v>4.557707677895894E-2</v>
      </c>
      <c r="AX38" s="65">
        <f>(1-BU38)/SUM($BL38:BU38)</f>
        <v>4.5991569046438169E-2</v>
      </c>
      <c r="AY38" s="65">
        <f>(1-BV38)/SUM($BL38:BV38)</f>
        <v>4.6397504519650835E-2</v>
      </c>
      <c r="AZ38" s="65">
        <f>(1-BW38)/SUM($BL38:BW38)</f>
        <v>4.6794735252295348E-2</v>
      </c>
      <c r="BA38" s="65">
        <f>(1-BX38)/SUM($BL38:BX38)</f>
        <v>4.7183124291241711E-2</v>
      </c>
      <c r="BB38" s="65">
        <f>(1-BY38)/SUM($BL38:BY38)</f>
        <v>4.7562546188666892E-2</v>
      </c>
      <c r="BC38" s="65">
        <f>(1-BZ38)/SUM($BL38:BZ38)</f>
        <v>4.793288748862528E-2</v>
      </c>
      <c r="BD38" s="65">
        <f>(1-CA38)/SUM($BL38:CA38)</f>
        <v>4.8294047183571276E-2</v>
      </c>
      <c r="BE38" s="65">
        <f>(1-CB38)/SUM($BL38:CB38)</f>
        <v>4.8645937136383197E-2</v>
      </c>
      <c r="BF38" s="65">
        <f>(1-CC38)/SUM($BL38:CC38)</f>
        <v>4.8988482463513616E-2</v>
      </c>
      <c r="BG38" s="65">
        <f>(1-CD38)/SUM($BL38:CD38)</f>
        <v>4.9321621875026943E-2</v>
      </c>
      <c r="BH38" s="65">
        <f>(1-CE38)/SUM($BL38:CE38)</f>
        <v>4.9645307967486556E-2</v>
      </c>
      <c r="BI38" s="14"/>
      <c r="BJ38" s="67"/>
      <c r="BK38" s="47"/>
      <c r="BL38" s="6">
        <f t="shared" si="54"/>
        <v>0.95971680752291122</v>
      </c>
      <c r="BM38" s="5">
        <f t="shared" si="55"/>
        <v>0.92019668706420987</v>
      </c>
      <c r="BN38" s="5">
        <f t="shared" si="56"/>
        <v>0.88148104775810665</v>
      </c>
      <c r="BO38" s="5">
        <f t="shared" si="57"/>
        <v>0.84360729573049442</v>
      </c>
      <c r="BP38" s="5">
        <f t="shared" si="58"/>
        <v>0.80660886923902553</v>
      </c>
      <c r="BQ38" s="5">
        <f t="shared" si="59"/>
        <v>0.77051529062764168</v>
      </c>
      <c r="BR38" s="5">
        <f t="shared" si="60"/>
        <v>0.73535223405105365</v>
      </c>
      <c r="BS38" s="5">
        <f t="shared" si="61"/>
        <v>0.70114160787053192</v>
      </c>
      <c r="BT38" s="5">
        <f t="shared" si="62"/>
        <v>0.66790165057856599</v>
      </c>
      <c r="BU38" s="5">
        <f t="shared" si="63"/>
        <v>0.63564703907707887</v>
      </c>
      <c r="BV38" s="5">
        <f t="shared" si="64"/>
        <v>0.60438900811073282</v>
      </c>
      <c r="BW38" s="5">
        <f t="shared" si="65"/>
        <v>0.57413547964422329</v>
      </c>
      <c r="BX38" s="5">
        <f t="shared" si="66"/>
        <v>0.54489120096897503</v>
      </c>
      <c r="BY38" s="5">
        <f t="shared" si="67"/>
        <v>0.51665789033052967</v>
      </c>
      <c r="BZ38" s="5">
        <f t="shared" si="68"/>
        <v>0.48943438888219415</v>
      </c>
      <c r="CA38" s="5">
        <f t="shared" si="69"/>
        <v>0.46321681779299101</v>
      </c>
      <c r="CB38" s="5">
        <f t="shared" si="70"/>
        <v>0.43799873936768291</v>
      </c>
      <c r="CC38" s="5">
        <f t="shared" si="71"/>
        <v>0.413771321073231</v>
      </c>
      <c r="CD38" s="5">
        <f t="shared" si="72"/>
        <v>0.3905235014086848</v>
      </c>
      <c r="CE38" s="5">
        <f t="shared" si="73"/>
        <v>0.3682421566034535</v>
      </c>
    </row>
    <row r="39" spans="1:83" ht="14.25" customHeight="1">
      <c r="A39" s="49"/>
      <c r="B39" s="70"/>
      <c r="C39" s="13"/>
      <c r="D39" s="13"/>
      <c r="E39" s="13"/>
      <c r="F39" s="13"/>
      <c r="G39" s="13"/>
      <c r="H39" s="13"/>
      <c r="I39" s="13"/>
      <c r="J39" s="13"/>
      <c r="K39" s="14"/>
      <c r="M39" s="24"/>
      <c r="N39" s="42">
        <f>N38+1</f>
        <v>29</v>
      </c>
      <c r="O39" s="50">
        <f>(O$35*($N$40-$N39)+O$40*($N39-$N$35))/($N$40-$N$35)</f>
        <v>0.02</v>
      </c>
      <c r="P39" s="51">
        <f t="shared" si="23"/>
        <v>21.246595021588618</v>
      </c>
      <c r="Q39" s="52">
        <f t="shared" si="51"/>
        <v>1.9957556462754544E-2</v>
      </c>
      <c r="R39" s="64">
        <f t="shared" si="52"/>
        <v>2.8345581575167453E-2</v>
      </c>
      <c r="S39" s="6"/>
      <c r="T39" s="65">
        <f t="shared" si="0"/>
        <v>4.2947470920359665E-2</v>
      </c>
      <c r="U39" s="65">
        <f t="shared" si="4"/>
        <v>4.343418440531055E-2</v>
      </c>
      <c r="V39" s="65">
        <f t="shared" si="5"/>
        <v>4.3920896855558444E-2</v>
      </c>
      <c r="W39" s="65">
        <f t="shared" si="6"/>
        <v>4.4407608271835208E-2</v>
      </c>
      <c r="X39" s="65">
        <f t="shared" si="7"/>
        <v>4.489431865487048E-2</v>
      </c>
      <c r="Y39" s="65">
        <f t="shared" si="8"/>
        <v>4.5381028005394786E-2</v>
      </c>
      <c r="Z39" s="65">
        <f t="shared" si="9"/>
        <v>4.5867736324134434E-2</v>
      </c>
      <c r="AA39" s="65">
        <f t="shared" si="10"/>
        <v>4.6354443611820617E-2</v>
      </c>
      <c r="AB39" s="65">
        <f t="shared" si="11"/>
        <v>4.6841149869178755E-2</v>
      </c>
      <c r="AC39" s="65">
        <f t="shared" si="12"/>
        <v>4.7327855096934712E-2</v>
      </c>
      <c r="AD39" s="65">
        <f t="shared" si="13"/>
        <v>4.7814559295813464E-2</v>
      </c>
      <c r="AE39" s="65">
        <f t="shared" si="76"/>
        <v>4.8301262466540207E-2</v>
      </c>
      <c r="AF39" s="65">
        <f t="shared" si="75"/>
        <v>4.8787964609838141E-2</v>
      </c>
      <c r="AG39" s="65">
        <f t="shared" si="74"/>
        <v>4.9274665726430911E-2</v>
      </c>
      <c r="AH39" s="65">
        <f t="shared" si="53"/>
        <v>4.9761365817039716E-2</v>
      </c>
      <c r="AI39" s="65">
        <f t="shared" si="50"/>
        <v>5.0248064882385757E-2</v>
      </c>
      <c r="AJ39" s="65">
        <f t="shared" si="49"/>
        <v>5.0734762923190013E-2</v>
      </c>
      <c r="AK39" s="65">
        <f t="shared" si="48"/>
        <v>5.1221459940171021E-2</v>
      </c>
      <c r="AL39" s="65">
        <f t="shared" si="47"/>
        <v>5.1708155934049094E-2</v>
      </c>
      <c r="AM39" s="65">
        <f t="shared" si="46"/>
        <v>5.2194850905541434E-2</v>
      </c>
      <c r="AN39" s="6"/>
      <c r="AO39" s="65">
        <f>(1-BL39)/SUM($BL39:BL39)</f>
        <v>4.29474709203597E-2</v>
      </c>
      <c r="AP39" s="65">
        <f>(1-BM39)/SUM($BL39:BM39)</f>
        <v>4.3423836712129821E-2</v>
      </c>
      <c r="AQ39" s="65">
        <f>(1-BN39)/SUM($BL39:BN39)</f>
        <v>4.3893006028220945E-2</v>
      </c>
      <c r="AR39" s="65">
        <f>(1-BO39)/SUM($BL39:BO39)</f>
        <v>4.4354763711920125E-2</v>
      </c>
      <c r="AS39" s="65">
        <f>(1-BP39)/SUM($BL39:BP39)</f>
        <v>4.4808901355312077E-2</v>
      </c>
      <c r="AT39" s="65">
        <f>(1-BQ39)/SUM($BL39:BQ39)</f>
        <v>4.5255217882094599E-2</v>
      </c>
      <c r="AU39" s="65">
        <f>(1-BR39)/SUM($BL39:BR39)</f>
        <v>4.56935201353693E-2</v>
      </c>
      <c r="AV39" s="65">
        <f>(1-BS39)/SUM($BL39:BS39)</f>
        <v>4.6123623467017053E-2</v>
      </c>
      <c r="AW39" s="65">
        <f>(1-BT39)/SUM($BL39:BT39)</f>
        <v>4.6545352324955928E-2</v>
      </c>
      <c r="AX39" s="65">
        <f>(1-BU39)/SUM($BL39:BU39)</f>
        <v>4.695854083440363E-2</v>
      </c>
      <c r="AY39" s="65">
        <f>(1-BV39)/SUM($BL39:BV39)</f>
        <v>4.7363033368998185E-2</v>
      </c>
      <c r="AZ39" s="65">
        <f>(1-BW39)/SUM($BL39:BW39)</f>
        <v>4.7758685107480797E-2</v>
      </c>
      <c r="BA39" s="65">
        <f>(1-BX39)/SUM($BL39:BX39)</f>
        <v>4.8145362571485904E-2</v>
      </c>
      <c r="BB39" s="65">
        <f>(1-BY39)/SUM($BL39:BY39)</f>
        <v>4.8522944139891624E-2</v>
      </c>
      <c r="BC39" s="65">
        <f>(1-BZ39)/SUM($BL39:BZ39)</f>
        <v>4.8891320535115204E-2</v>
      </c>
      <c r="BD39" s="65">
        <f>(1-CA39)/SUM($BL39:CA39)</f>
        <v>4.9250395276746552E-2</v>
      </c>
      <c r="BE39" s="65">
        <f>(1-CB39)/SUM($BL39:CB39)</f>
        <v>4.9600085097949567E-2</v>
      </c>
      <c r="BF39" s="65">
        <f>(1-CC39)/SUM($BL39:CC39)</f>
        <v>4.9940320320174703E-2</v>
      </c>
      <c r="BG39" s="65">
        <f>(1-CD39)/SUM($BL39:CD39)</f>
        <v>5.0271045181896595E-2</v>
      </c>
      <c r="BH39" s="65">
        <f>(1-CE39)/SUM($BL39:CE39)</f>
        <v>5.0592218117304848E-2</v>
      </c>
      <c r="BI39" s="14"/>
      <c r="BJ39" s="67"/>
      <c r="BK39" s="47"/>
      <c r="BL39" s="6">
        <f t="shared" si="54"/>
        <v>0.95882106039102788</v>
      </c>
      <c r="BM39" s="5">
        <f t="shared" si="55"/>
        <v>0.91848036925941146</v>
      </c>
      <c r="BN39" s="5">
        <f t="shared" si="56"/>
        <v>0.87901690281729772</v>
      </c>
      <c r="BO39" s="5">
        <f t="shared" si="57"/>
        <v>0.84046550286113408</v>
      </c>
      <c r="BP39" s="5">
        <f t="shared" si="58"/>
        <v>0.80285693090693033</v>
      </c>
      <c r="BQ39" s="5">
        <f t="shared" si="59"/>
        <v>0.76621793875741684</v>
      </c>
      <c r="BR39" s="5">
        <f t="shared" si="60"/>
        <v>0.73057135435631526</v>
      </c>
      <c r="BS39" s="5">
        <f t="shared" si="61"/>
        <v>0.69593618173934213</v>
      </c>
      <c r="BT39" s="5">
        <f t="shared" si="62"/>
        <v>0.66232771385730216</v>
      </c>
      <c r="BU39" s="5">
        <f t="shared" si="63"/>
        <v>0.62975765702248976</v>
      </c>
      <c r="BV39" s="5">
        <f t="shared" si="64"/>
        <v>0.5982342657164692</v>
      </c>
      <c r="BW39" s="5">
        <f t="shared" si="65"/>
        <v>0.56776248649366967</v>
      </c>
      <c r="BX39" s="5">
        <f t="shared" si="66"/>
        <v>0.53834410972134206</v>
      </c>
      <c r="BY39" s="5">
        <f t="shared" si="67"/>
        <v>0.50997792791131158</v>
      </c>
      <c r="BZ39" s="5">
        <f t="shared" si="68"/>
        <v>0.4826598994223949</v>
      </c>
      <c r="CA39" s="5">
        <f t="shared" si="69"/>
        <v>0.45638331634327078</v>
      </c>
      <c r="CB39" s="5">
        <f t="shared" si="70"/>
        <v>0.43113897540379686</v>
      </c>
      <c r="CC39" s="5">
        <f t="shared" si="71"/>
        <v>0.40691535080713021</v>
      </c>
      <c r="CD39" s="5">
        <f t="shared" si="72"/>
        <v>0.3836987679249978</v>
      </c>
      <c r="CE39" s="5">
        <f t="shared" si="73"/>
        <v>0.36147357685354659</v>
      </c>
    </row>
    <row r="40" spans="1:83" ht="14.25" customHeight="1">
      <c r="A40" s="49"/>
      <c r="B40" s="73" t="str">
        <f>INDEX(Équivalences!$C$2:$D$397,MATCH("Step 4: Beyond year 20, calculate an adjusted spot rate by using a uniform",Équivalences!$C$2:$C$397,0), langue)</f>
        <v>Étape 4 : Au delà de la 20e année, calculer un taux immédiat ajusté en utilisant une transition uniforme</v>
      </c>
      <c r="C40" s="9"/>
      <c r="D40" s="9"/>
      <c r="E40" s="9"/>
      <c r="F40" s="9"/>
      <c r="G40" s="9"/>
      <c r="H40" s="9"/>
      <c r="I40" s="9"/>
      <c r="J40" s="74"/>
      <c r="K40" s="14"/>
      <c r="M40" s="24"/>
      <c r="N40" s="42">
        <f t="shared" si="25"/>
        <v>30</v>
      </c>
      <c r="O40" s="169">
        <f>'Input - Entrée de données'!D15</f>
        <v>0.02</v>
      </c>
      <c r="P40" s="51">
        <f t="shared" si="23"/>
        <v>21.810387276067271</v>
      </c>
      <c r="Q40" s="52">
        <f t="shared" si="51"/>
        <v>1.9958971218874577E-2</v>
      </c>
      <c r="R40" s="64">
        <f t="shared" si="52"/>
        <v>2.8829001544281817E-2</v>
      </c>
      <c r="S40" s="41"/>
      <c r="T40" s="65">
        <f t="shared" si="0"/>
        <v>4.3921125025398577E-2</v>
      </c>
      <c r="U40" s="65">
        <f t="shared" si="4"/>
        <v>4.4407950472158619E-2</v>
      </c>
      <c r="V40" s="65">
        <f t="shared" si="5"/>
        <v>4.4894774849422836E-2</v>
      </c>
      <c r="W40" s="65">
        <f t="shared" si="6"/>
        <v>4.5381598157945513E-2</v>
      </c>
      <c r="X40" s="65">
        <f t="shared" si="7"/>
        <v>4.5868420398482046E-2</v>
      </c>
      <c r="Y40" s="65">
        <f t="shared" si="8"/>
        <v>4.6355241571783834E-2</v>
      </c>
      <c r="Z40" s="65">
        <f t="shared" si="9"/>
        <v>4.6842061678607605E-2</v>
      </c>
      <c r="AA40" s="65">
        <f t="shared" si="10"/>
        <v>4.7328880719703204E-2</v>
      </c>
      <c r="AB40" s="65">
        <f t="shared" si="11"/>
        <v>4.7815698695821807E-2</v>
      </c>
      <c r="AC40" s="65">
        <f t="shared" si="12"/>
        <v>4.8302515607713259E-2</v>
      </c>
      <c r="AD40" s="65">
        <f t="shared" si="13"/>
        <v>4.8789331456127627E-2</v>
      </c>
      <c r="AE40" s="65">
        <f t="shared" si="76"/>
        <v>4.9276146241813201E-2</v>
      </c>
      <c r="AF40" s="65">
        <f t="shared" si="75"/>
        <v>4.9762959965518272E-2</v>
      </c>
      <c r="AG40" s="65">
        <f t="shared" si="74"/>
        <v>5.0249772627989131E-2</v>
      </c>
      <c r="AH40" s="65">
        <f t="shared" si="53"/>
        <v>5.073658422997207E-2</v>
      </c>
      <c r="AI40" s="65">
        <f t="shared" si="50"/>
        <v>5.122339477221205E-2</v>
      </c>
      <c r="AJ40" s="65">
        <f t="shared" si="49"/>
        <v>5.1710204255452918E-2</v>
      </c>
      <c r="AK40" s="65">
        <f t="shared" si="48"/>
        <v>5.2197012680439858E-2</v>
      </c>
      <c r="AL40" s="65">
        <f t="shared" si="47"/>
        <v>5.2683820047914498E-2</v>
      </c>
      <c r="AM40" s="65">
        <f t="shared" si="46"/>
        <v>5.3170626358619133E-2</v>
      </c>
      <c r="AN40" s="6"/>
      <c r="AO40" s="65">
        <f>(1-BL40)/SUM($BL40:BL40)</f>
        <v>4.3921125025398522E-2</v>
      </c>
      <c r="AP40" s="65">
        <f>(1-BM40)/SUM($BL40:BM40)</f>
        <v>4.4397373399921579E-2</v>
      </c>
      <c r="AQ40" s="65">
        <f>(1-BN40)/SUM($BL40:BN40)</f>
        <v>4.4866272812618492E-2</v>
      </c>
      <c r="AR40" s="65">
        <f>(1-BO40)/SUM($BL40:BO40)</f>
        <v>4.5327608772749134E-2</v>
      </c>
      <c r="AS40" s="65">
        <f>(1-BP40)/SUM($BL40:BP40)</f>
        <v>4.5781173810205536E-2</v>
      </c>
      <c r="AT40" s="65">
        <f>(1-BQ40)/SUM($BL40:BQ40)</f>
        <v>4.6226768073951902E-2</v>
      </c>
      <c r="AU40" s="65">
        <f>(1-BR40)/SUM($BL40:BR40)</f>
        <v>4.6664199934422411E-2</v>
      </c>
      <c r="AV40" s="65">
        <f>(1-BS40)/SUM($BL40:BS40)</f>
        <v>4.7093286586224026E-2</v>
      </c>
      <c r="AW40" s="65">
        <f>(1-BT40)/SUM($BL40:BT40)</f>
        <v>4.7513854647296787E-2</v>
      </c>
      <c r="AX40" s="65">
        <f>(1-BU40)/SUM($BL40:BU40)</f>
        <v>4.7925740750382147E-2</v>
      </c>
      <c r="AY40" s="65">
        <f>(1-BV40)/SUM($BL40:BV40)</f>
        <v>4.8328792122481895E-2</v>
      </c>
      <c r="AZ40" s="65">
        <f>(1-BW40)/SUM($BL40:BW40)</f>
        <v>4.8722867147796438E-2</v>
      </c>
      <c r="BA40" s="65">
        <f>(1-BX40)/SUM($BL40:BX40)</f>
        <v>4.9107835909510685E-2</v>
      </c>
      <c r="BB40" s="65">
        <f>(1-BY40)/SUM($BL40:BY40)</f>
        <v>4.9483580705696938E-2</v>
      </c>
      <c r="BC40" s="65">
        <f>(1-BZ40)/SUM($BL40:BZ40)</f>
        <v>4.9849996534577334E-2</v>
      </c>
      <c r="BD40" s="65">
        <f>(1-CA40)/SUM($BL40:CA40)</f>
        <v>5.0206991544396028E-2</v>
      </c>
      <c r="BE40" s="65">
        <f>(1-CB40)/SUM($BL40:CB40)</f>
        <v>5.0554487443234479E-2</v>
      </c>
      <c r="BF40" s="65">
        <f>(1-CC40)/SUM($BL40:CC40)</f>
        <v>5.0892419864236961E-2</v>
      </c>
      <c r="BG40" s="65">
        <f>(1-CD40)/SUM($BL40:CD40)</f>
        <v>5.1220738681906096E-2</v>
      </c>
      <c r="BH40" s="65">
        <f>(1-CE40)/SUM($BL40:CE40)</f>
        <v>5.1539408275407851E-2</v>
      </c>
      <c r="BI40" s="14"/>
      <c r="BJ40" s="67"/>
      <c r="BK40" s="47"/>
      <c r="BL40" s="6">
        <f t="shared" si="54"/>
        <v>0.95792677820910088</v>
      </c>
      <c r="BM40" s="5">
        <f t="shared" si="55"/>
        <v>0.91676845568954834</v>
      </c>
      <c r="BN40" s="5">
        <f t="shared" si="56"/>
        <v>0.87656137060482853</v>
      </c>
      <c r="BO40" s="5">
        <f t="shared" si="57"/>
        <v>0.83733760560026482</v>
      </c>
      <c r="BP40" s="5">
        <f t="shared" si="58"/>
        <v>0.79912506140085937</v>
      </c>
      <c r="BQ40" s="5">
        <f t="shared" si="59"/>
        <v>0.76194754635278084</v>
      </c>
      <c r="BR40" s="5">
        <f t="shared" si="60"/>
        <v>0.72582488066701822</v>
      </c>
      <c r="BS40" s="5">
        <f t="shared" si="61"/>
        <v>0.69077301408793723</v>
      </c>
      <c r="BT40" s="5">
        <f t="shared" si="62"/>
        <v>0.65680415568433725</v>
      </c>
      <c r="BU40" s="5">
        <f t="shared" si="63"/>
        <v>0.62392691444688986</v>
      </c>
      <c r="BV40" s="5">
        <f t="shared" si="64"/>
        <v>0.59214644937202765</v>
      </c>
      <c r="BW40" s="5">
        <f t="shared" si="65"/>
        <v>0.56146462771874628</v>
      </c>
      <c r="BX40" s="5">
        <f t="shared" si="66"/>
        <v>0.53188019014030941</v>
      </c>
      <c r="BY40" s="5">
        <f t="shared" si="67"/>
        <v>0.50338892141726366</v>
      </c>
      <c r="BZ40" s="5">
        <f t="shared" si="68"/>
        <v>0.47598382555045998</v>
      </c>
      <c r="CA40" s="5">
        <f t="shared" si="69"/>
        <v>0.44965530401258513</v>
      </c>
      <c r="CB40" s="5">
        <f t="shared" si="70"/>
        <v>0.42439133600296797</v>
      </c>
      <c r="CC40" s="5">
        <f t="shared" si="71"/>
        <v>0.40017765960263413</v>
      </c>
      <c r="CD40" s="5">
        <f t="shared" si="72"/>
        <v>0.37699795278394244</v>
      </c>
      <c r="CE40" s="5">
        <f t="shared" si="73"/>
        <v>0.35483401329056541</v>
      </c>
    </row>
    <row r="41" spans="1:83" ht="14.25" customHeight="1">
      <c r="A41" s="24"/>
      <c r="B41" s="24" t="str">
        <f>INDEX(Équivalences!$C$2:$D$397,MATCH("transition from the spot rate in year 20 to the median long-term ultimate risk-free",Équivalences!$C$2:$C$397,0), langue)</f>
        <v>du taux immédiat à l'année 20 vers le taux de réinvestissement ultime médian sans risque à long terme</v>
      </c>
      <c r="C41" s="13"/>
      <c r="D41" s="13"/>
      <c r="E41" s="13"/>
      <c r="F41" s="13"/>
      <c r="G41" s="13"/>
      <c r="H41" s="13"/>
      <c r="I41" s="13"/>
      <c r="J41" s="75"/>
      <c r="K41" s="14"/>
      <c r="M41" s="24"/>
      <c r="N41" s="42">
        <f t="shared" si="25"/>
        <v>31</v>
      </c>
      <c r="O41" s="50">
        <f t="shared" ref="O41:O90" si="77">O$40</f>
        <v>0.02</v>
      </c>
      <c r="P41" s="51">
        <f t="shared" si="23"/>
        <v>22.363124780458108</v>
      </c>
      <c r="Q41" s="52">
        <f t="shared" si="51"/>
        <v>1.9960294702182857E-2</v>
      </c>
      <c r="R41" s="64">
        <f t="shared" si="52"/>
        <v>2.9312421513396181E-2</v>
      </c>
      <c r="T41" s="65">
        <f t="shared" si="0"/>
        <v>4.4895002946622187E-2</v>
      </c>
      <c r="U41" s="65">
        <f t="shared" si="4"/>
        <v>4.5381940249324515E-2</v>
      </c>
      <c r="V41" s="65">
        <f t="shared" si="5"/>
        <v>4.5868876447793028E-2</v>
      </c>
      <c r="W41" s="65">
        <f t="shared" si="6"/>
        <v>4.6355811542809322E-2</v>
      </c>
      <c r="X41" s="65">
        <f t="shared" si="7"/>
        <v>4.6842745535148556E-2</v>
      </c>
      <c r="Y41" s="65">
        <f t="shared" si="8"/>
        <v>4.7329678425594324E-2</v>
      </c>
      <c r="Z41" s="65">
        <f t="shared" si="9"/>
        <v>4.781661021492023E-2</v>
      </c>
      <c r="AA41" s="65">
        <f t="shared" si="10"/>
        <v>4.8303540903902764E-2</v>
      </c>
      <c r="AB41" s="65">
        <f t="shared" si="11"/>
        <v>4.879047049331664E-2</v>
      </c>
      <c r="AC41" s="65">
        <f t="shared" si="12"/>
        <v>4.9277398983937237E-2</v>
      </c>
      <c r="AD41" s="65">
        <f t="shared" si="13"/>
        <v>4.9764326376537493E-2</v>
      </c>
      <c r="AE41" s="65">
        <f t="shared" si="76"/>
        <v>5.0251252671890345E-2</v>
      </c>
      <c r="AF41" s="65">
        <f t="shared" si="75"/>
        <v>5.0738177870767398E-2</v>
      </c>
      <c r="AG41" s="65">
        <f t="shared" si="74"/>
        <v>5.1225101973939369E-2</v>
      </c>
      <c r="AH41" s="65">
        <f t="shared" si="53"/>
        <v>5.1712024982176308E-2</v>
      </c>
      <c r="AI41" s="65">
        <f t="shared" si="50"/>
        <v>5.2198946896246712E-2</v>
      </c>
      <c r="AJ41" s="65">
        <f t="shared" si="49"/>
        <v>5.2685867716920409E-2</v>
      </c>
      <c r="AK41" s="65">
        <f t="shared" si="48"/>
        <v>5.317278744496412E-2</v>
      </c>
      <c r="AL41" s="65">
        <f t="shared" si="47"/>
        <v>5.3659706081144343E-2</v>
      </c>
      <c r="AM41" s="65">
        <f t="shared" si="46"/>
        <v>5.4146623626227131E-2</v>
      </c>
      <c r="AO41" s="65">
        <f>(1-BL41)/SUM($BL41:BL41)</f>
        <v>4.4895002946622138E-2</v>
      </c>
      <c r="AP41" s="65">
        <f>(1-BM41)/SUM($BL41:BM41)</f>
        <v>4.5371133860189559E-2</v>
      </c>
      <c r="AQ41" s="65">
        <f>(1-BN41)/SUM($BL41:BN41)</f>
        <v>4.583976337973901E-2</v>
      </c>
      <c r="AR41" s="65">
        <f>(1-BO41)/SUM($BL41:BO41)</f>
        <v>4.6300677699500879E-2</v>
      </c>
      <c r="AS41" s="65">
        <f>(1-BP41)/SUM($BL41:BP41)</f>
        <v>4.6753670314145734E-2</v>
      </c>
      <c r="AT41" s="65">
        <f>(1-BQ41)/SUM($BL41:BQ41)</f>
        <v>4.7198542633007441E-2</v>
      </c>
      <c r="AU41" s="65">
        <f>(1-BR41)/SUM($BL41:BR41)</f>
        <v>4.7635104597096758E-2</v>
      </c>
      <c r="AV41" s="65">
        <f>(1-BS41)/SUM($BL41:BS41)</f>
        <v>4.8063175295127915E-2</v>
      </c>
      <c r="AW41" s="65">
        <f>(1-BT41)/SUM($BL41:BT41)</f>
        <v>4.8482583574408648E-2</v>
      </c>
      <c r="AX41" s="65">
        <f>(1-BU41)/SUM($BL41:BU41)</f>
        <v>4.8893168642278918E-2</v>
      </c>
      <c r="AY41" s="65">
        <f>(1-BV41)/SUM($BL41:BV41)</f>
        <v>4.9294780653545513E-2</v>
      </c>
      <c r="AZ41" s="65">
        <f>(1-BW41)/SUM($BL41:BW41)</f>
        <v>4.9687281279214332E-2</v>
      </c>
      <c r="BA41" s="65">
        <f>(1-BX41)/SUM($BL41:BX41)</f>
        <v>5.0070544251688262E-2</v>
      </c>
      <c r="BB41" s="65">
        <f>(1-BY41)/SUM($BL41:BY41)</f>
        <v>5.0444455881535989E-2</v>
      </c>
      <c r="BC41" s="65">
        <f>(1-BZ41)/SUM($BL41:BZ41)</f>
        <v>5.080891554091873E-2</v>
      </c>
      <c r="BD41" s="65">
        <f>(1-CA41)/SUM($BL41:CA41)</f>
        <v>5.1163836108800771E-2</v>
      </c>
      <c r="BE41" s="65">
        <f>(1-CB41)/SUM($BL41:CB41)</f>
        <v>5.150914437317957E-2</v>
      </c>
      <c r="BF41" s="65">
        <f>(1-CC41)/SUM($BL41:CC41)</f>
        <v>5.1844781385728567E-2</v>
      </c>
      <c r="BG41" s="65">
        <f>(1-CD41)/SUM($BL41:CD41)</f>
        <v>5.2170702764495119E-2</v>
      </c>
      <c r="BH41" s="65">
        <f>(1-CE41)/SUM($BL41:CE41)</f>
        <v>5.2486878940581433E-2</v>
      </c>
      <c r="BI41" s="14"/>
      <c r="BJ41" s="67"/>
      <c r="BK41" s="47"/>
      <c r="BL41" s="6">
        <f t="shared" si="54"/>
        <v>0.95703395765123056</v>
      </c>
      <c r="BM41" s="5">
        <f t="shared" si="55"/>
        <v>0.91506093215559758</v>
      </c>
      <c r="BN41" s="5">
        <f t="shared" si="56"/>
        <v>0.87411441526430189</v>
      </c>
      <c r="BO41" s="5">
        <f t="shared" si="57"/>
        <v>0.83422353313357478</v>
      </c>
      <c r="BP41" s="5">
        <f t="shared" si="58"/>
        <v>0.79541313979893713</v>
      </c>
      <c r="BQ41" s="5">
        <f t="shared" si="59"/>
        <v>0.75770392599733849</v>
      </c>
      <c r="BR41" s="5">
        <f t="shared" si="60"/>
        <v>0.72111254200386488</v>
      </c>
      <c r="BS41" s="5">
        <f t="shared" si="61"/>
        <v>0.68565173312335093</v>
      </c>
      <c r="BT41" s="5">
        <f t="shared" si="62"/>
        <v>0.65133048646302361</v>
      </c>
      <c r="BU41" s="5">
        <f t="shared" si="63"/>
        <v>0.61815418760824226</v>
      </c>
      <c r="BV41" s="5">
        <f t="shared" si="64"/>
        <v>0.58612478583011918</v>
      </c>
      <c r="BW41" s="5">
        <f t="shared" si="65"/>
        <v>0.55524096646999499</v>
      </c>
      <c r="BX41" s="5">
        <f t="shared" si="66"/>
        <v>0.5254983291712314</v>
      </c>
      <c r="BY41" s="5">
        <f t="shared" si="67"/>
        <v>0.4968895706625297</v>
      </c>
      <c r="BZ41" s="5">
        <f t="shared" si="68"/>
        <v>0.46940467083845616</v>
      </c>
      <c r="CA41" s="5">
        <f t="shared" si="69"/>
        <v>0.4430310809312501</v>
      </c>
      <c r="CB41" s="5">
        <f t="shared" si="70"/>
        <v>0.41775391262241335</v>
      </c>
      <c r="CC41" s="5">
        <f t="shared" si="71"/>
        <v>0.39355612700248471</v>
      </c>
      <c r="CD41" s="5">
        <f t="shared" si="72"/>
        <v>0.37041872235156409</v>
      </c>
      <c r="CE41" s="5">
        <f t="shared" si="73"/>
        <v>0.34832091978134438</v>
      </c>
    </row>
    <row r="42" spans="1:83" ht="14.25" customHeight="1">
      <c r="A42" s="24"/>
      <c r="B42" s="76" t="str">
        <f>INDEX(Équivalences!$C$2:$D$397,MATCH("reinvestment rate-median (longURRmedian) in year 80.",Équivalences!$C$2:$C$397,0), langue)</f>
        <v xml:space="preserve"> (longTRRmédian) à l'année 80.</v>
      </c>
      <c r="C42" s="77"/>
      <c r="D42" s="77"/>
      <c r="E42" s="77"/>
      <c r="F42" s="77"/>
      <c r="G42" s="77"/>
      <c r="H42" s="77"/>
      <c r="I42" s="77"/>
      <c r="J42" s="78"/>
      <c r="K42" s="14"/>
      <c r="M42" s="24"/>
      <c r="N42" s="42">
        <f t="shared" si="25"/>
        <v>32</v>
      </c>
      <c r="O42" s="50">
        <f t="shared" si="77"/>
        <v>0.02</v>
      </c>
      <c r="P42" s="51">
        <f t="shared" si="23"/>
        <v>22.905024294566772</v>
      </c>
      <c r="Q42" s="52">
        <f t="shared" si="51"/>
        <v>1.9961535469344094E-2</v>
      </c>
      <c r="R42" s="64">
        <f t="shared" si="52"/>
        <v>2.9795841482510545E-2</v>
      </c>
      <c r="S42" s="41"/>
      <c r="T42" s="65">
        <f t="shared" si="0"/>
        <v>4.5869104472374023E-2</v>
      </c>
      <c r="U42" s="65">
        <f t="shared" si="4"/>
        <v>4.6356153525271671E-2</v>
      </c>
      <c r="V42" s="65">
        <f t="shared" si="5"/>
        <v>4.6843201439259685E-2</v>
      </c>
      <c r="W42" s="65">
        <f t="shared" si="6"/>
        <v>4.7330248215137427E-2</v>
      </c>
      <c r="X42" s="65">
        <f t="shared" si="7"/>
        <v>4.7817293853714249E-2</v>
      </c>
      <c r="Y42" s="65">
        <f t="shared" si="8"/>
        <v>4.8304338355788623E-2</v>
      </c>
      <c r="Z42" s="65">
        <f t="shared" si="9"/>
        <v>4.8791381722161686E-2</v>
      </c>
      <c r="AA42" s="65">
        <f t="shared" si="10"/>
        <v>4.9278423953633244E-2</v>
      </c>
      <c r="AB42" s="65">
        <f t="shared" si="11"/>
        <v>4.9765465051003543E-2</v>
      </c>
      <c r="AC42" s="65">
        <f t="shared" si="12"/>
        <v>5.0252505015070392E-2</v>
      </c>
      <c r="AD42" s="65">
        <f t="shared" si="13"/>
        <v>5.0739543846631818E-2</v>
      </c>
      <c r="AE42" s="65">
        <f t="shared" si="76"/>
        <v>5.1226581546484073E-2</v>
      </c>
      <c r="AF42" s="65">
        <f t="shared" si="75"/>
        <v>5.1713618115422744E-2</v>
      </c>
      <c r="AG42" s="65">
        <f t="shared" si="74"/>
        <v>5.2200653554242971E-2</v>
      </c>
      <c r="AH42" s="65">
        <f t="shared" si="53"/>
        <v>5.2687687863737676E-2</v>
      </c>
      <c r="AI42" s="65">
        <f t="shared" si="50"/>
        <v>5.3174721044701334E-2</v>
      </c>
      <c r="AJ42" s="65">
        <f t="shared" si="49"/>
        <v>5.3661753097925757E-2</v>
      </c>
      <c r="AK42" s="65">
        <f t="shared" si="48"/>
        <v>5.414878402420209E-2</v>
      </c>
      <c r="AL42" s="65">
        <f t="shared" si="47"/>
        <v>5.4635813824320589E-2</v>
      </c>
      <c r="AM42" s="65">
        <f t="shared" si="46"/>
        <v>5.5122842499070623E-2</v>
      </c>
      <c r="AN42" s="6"/>
      <c r="AO42" s="65">
        <f>(1-BL42)/SUM($BL42:BL42)</f>
        <v>4.5869104472374037E-2</v>
      </c>
      <c r="AP42" s="65">
        <f>(1-BM42)/SUM($BL42:BM42)</f>
        <v>4.6345117881544592E-2</v>
      </c>
      <c r="AQ42" s="65">
        <f>(1-BN42)/SUM($BL42:BN42)</f>
        <v>4.6813477518807572E-2</v>
      </c>
      <c r="AR42" s="65">
        <f>(1-BO42)/SUM($BL42:BO42)</f>
        <v>4.727397028270465E-2</v>
      </c>
      <c r="AS42" s="65">
        <f>(1-BP42)/SUM($BL42:BP42)</f>
        <v>4.7726390660163556E-2</v>
      </c>
      <c r="AT42" s="65">
        <f>(1-BQ42)/SUM($BL42:BQ42)</f>
        <v>4.8170541356572526E-2</v>
      </c>
      <c r="AU42" s="65">
        <f>(1-BR42)/SUM($BL42:BR42)</f>
        <v>4.8606233927497564E-2</v>
      </c>
      <c r="AV42" s="65">
        <f>(1-BS42)/SUM($BL42:BS42)</f>
        <v>4.9033289407931016E-2</v>
      </c>
      <c r="AW42" s="65">
        <f>(1-BT42)/SUM($BL42:BT42)</f>
        <v>4.9451538934764165E-2</v>
      </c>
      <c r="AX42" s="65">
        <f>(1-BU42)/SUM($BL42:BU42)</f>
        <v>4.9860824357914876E-2</v>
      </c>
      <c r="AY42" s="65">
        <f>(1-BV42)/SUM($BL42:BV42)</f>
        <v>5.0260998835361864E-2</v>
      </c>
      <c r="AZ42" s="65">
        <f>(1-BW42)/SUM($BL42:BW42)</f>
        <v>5.0651927407167847E-2</v>
      </c>
      <c r="BA42" s="65">
        <f>(1-BX42)/SUM($BL42:BX42)</f>
        <v>5.1033487543480999E-2</v>
      </c>
      <c r="BB42" s="65">
        <f>(1-BY42)/SUM($BL42:BY42)</f>
        <v>5.1405569661444758E-2</v>
      </c>
      <c r="BC42" s="65">
        <f>(1-BZ42)/SUM($BL42:BZ42)</f>
        <v>5.1768077605952909E-2</v>
      </c>
      <c r="BD42" s="65">
        <f>(1-CA42)/SUM($BL42:CA42)</f>
        <v>5.21209290892631E-2</v>
      </c>
      <c r="BE42" s="65">
        <f>(1-CB42)/SUM($BL42:CB42)</f>
        <v>5.2464056084599531E-2</v>
      </c>
      <c r="BF42" s="65">
        <f>(1-CC42)/SUM($BL42:CC42)</f>
        <v>5.2797405169098366E-2</v>
      </c>
      <c r="BG42" s="65">
        <f>(1-CD42)/SUM($BL42:CD42)</f>
        <v>5.312093781170231E-2</v>
      </c>
      <c r="BH42" s="65">
        <f>(1-CE42)/SUM($BL42:CE42)</f>
        <v>5.3434630601960798E-2</v>
      </c>
      <c r="BI42" s="14"/>
      <c r="BJ42" s="67"/>
      <c r="BK42" s="47"/>
      <c r="BL42" s="6">
        <f t="shared" si="54"/>
        <v>0.95614259540106183</v>
      </c>
      <c r="BM42" s="5">
        <f t="shared" si="55"/>
        <v>0.91335778451327754</v>
      </c>
      <c r="BN42" s="5">
        <f t="shared" si="56"/>
        <v>0.87167600111174892</v>
      </c>
      <c r="BO42" s="5">
        <f t="shared" si="57"/>
        <v>0.83112321505399245</v>
      </c>
      <c r="BP42" s="5">
        <f t="shared" si="58"/>
        <v>0.79172104598765736</v>
      </c>
      <c r="BQ42" s="5">
        <f t="shared" si="59"/>
        <v>0.75348689170197458</v>
      </c>
      <c r="BR42" s="5">
        <f t="shared" si="60"/>
        <v>0.71643406970228007</v>
      </c>
      <c r="BS42" s="5">
        <f t="shared" si="61"/>
        <v>0.68057197057200558</v>
      </c>
      <c r="BT42" s="5">
        <f t="shared" si="62"/>
        <v>0.64590622168238088</v>
      </c>
      <c r="BU42" s="5">
        <f t="shared" si="63"/>
        <v>0.61243885981705071</v>
      </c>
      <c r="BV42" s="5">
        <f t="shared" si="64"/>
        <v>0.58016851129574998</v>
      </c>
      <c r="BW42" s="5">
        <f t="shared" si="65"/>
        <v>0.5490905782078187</v>
      </c>
      <c r="BX42" s="5">
        <f t="shared" si="66"/>
        <v>0.51919742940157043</v>
      </c>
      <c r="BY42" s="5">
        <f t="shared" si="67"/>
        <v>0.49047859491890611</v>
      </c>
      <c r="BZ42" s="5">
        <f t="shared" si="68"/>
        <v>0.46292096261510302</v>
      </c>
      <c r="CA42" s="5">
        <f t="shared" si="69"/>
        <v>0.43650897576055975</v>
      </c>
      <c r="CB42" s="5">
        <f t="shared" si="70"/>
        <v>0.41122483048392333</v>
      </c>
      <c r="CC42" s="5">
        <f t="shared" si="71"/>
        <v>0.38704867198302101</v>
      </c>
      <c r="CD42" s="5">
        <f t="shared" si="72"/>
        <v>0.36395878850129876</v>
      </c>
      <c r="CE42" s="5">
        <f t="shared" si="73"/>
        <v>0.34193180214153024</v>
      </c>
    </row>
    <row r="43" spans="1:83" ht="14.25" customHeight="1">
      <c r="A43" s="49"/>
      <c r="B43" s="70"/>
      <c r="C43" s="13"/>
      <c r="D43" s="13"/>
      <c r="E43" s="13"/>
      <c r="F43" s="13"/>
      <c r="G43" s="13"/>
      <c r="H43" s="13"/>
      <c r="I43" s="13"/>
      <c r="J43" s="13"/>
      <c r="K43" s="14"/>
      <c r="M43" s="24"/>
      <c r="N43" s="42">
        <f t="shared" si="25"/>
        <v>33</v>
      </c>
      <c r="O43" s="50">
        <f t="shared" si="77"/>
        <v>0.02</v>
      </c>
      <c r="P43" s="51">
        <f t="shared" si="23"/>
        <v>23.436298328006639</v>
      </c>
      <c r="Q43" s="52">
        <f t="shared" si="51"/>
        <v>1.9962701039870412E-2</v>
      </c>
      <c r="R43" s="64">
        <f t="shared" si="52"/>
        <v>3.0279261451624909E-2</v>
      </c>
      <c r="S43" s="41"/>
      <c r="T43" s="65">
        <f t="shared" si="0"/>
        <v>4.6843429391237201E-2</v>
      </c>
      <c r="U43" s="65">
        <f t="shared" si="4"/>
        <v>4.7330590088715097E-2</v>
      </c>
      <c r="V43" s="65">
        <f t="shared" si="5"/>
        <v>4.7817749612656835E-2</v>
      </c>
      <c r="W43" s="65">
        <f t="shared" si="6"/>
        <v>4.8304907963899746E-2</v>
      </c>
      <c r="X43" s="65">
        <f t="shared" si="7"/>
        <v>4.8792065143265617E-2</v>
      </c>
      <c r="Y43" s="65">
        <f t="shared" si="8"/>
        <v>4.9279221151580899E-2</v>
      </c>
      <c r="Z43" s="65">
        <f t="shared" si="9"/>
        <v>4.9766375989670264E-2</v>
      </c>
      <c r="AA43" s="65">
        <f t="shared" si="10"/>
        <v>5.0253529658358831E-2</v>
      </c>
      <c r="AB43" s="65">
        <f t="shared" si="11"/>
        <v>5.0740682158469719E-2</v>
      </c>
      <c r="AC43" s="65">
        <f t="shared" si="12"/>
        <v>5.1227833490825603E-2</v>
      </c>
      <c r="AD43" s="65">
        <f t="shared" si="13"/>
        <v>5.1714983656247382E-2</v>
      </c>
      <c r="AE43" s="65">
        <f t="shared" si="76"/>
        <v>5.2202132655555733E-2</v>
      </c>
      <c r="AF43" s="65">
        <f t="shared" si="75"/>
        <v>5.2689280489570445E-2</v>
      </c>
      <c r="AG43" s="65">
        <f t="shared" si="74"/>
        <v>5.3176427159109085E-2</v>
      </c>
      <c r="AH43" s="65">
        <f t="shared" si="53"/>
        <v>5.3663572664991444E-2</v>
      </c>
      <c r="AI43" s="65">
        <f t="shared" si="50"/>
        <v>5.4150717008033311E-2</v>
      </c>
      <c r="AJ43" s="65">
        <f t="shared" si="49"/>
        <v>5.4637860189050924E-2</v>
      </c>
      <c r="AK43" s="65">
        <f t="shared" si="48"/>
        <v>5.5125002208859408E-2</v>
      </c>
      <c r="AL43" s="65">
        <f t="shared" si="47"/>
        <v>5.5612143068272335E-2</v>
      </c>
      <c r="AM43" s="65">
        <f t="shared" si="46"/>
        <v>5.6099282768103054E-2</v>
      </c>
      <c r="AN43" s="6"/>
      <c r="AO43" s="65">
        <f>(1-BL43)/SUM($BL43:BL43)</f>
        <v>4.6843429391237208E-2</v>
      </c>
      <c r="AP43" s="65">
        <f>(1-BM43)/SUM($BL43:BM43)</f>
        <v>4.7319325252848037E-2</v>
      </c>
      <c r="AQ43" s="65">
        <f>(1-BN43)/SUM($BL43:BN43)</f>
        <v>4.7787415019290111E-2</v>
      </c>
      <c r="AR43" s="65">
        <f>(1-BO43)/SUM($BL43:BO43)</f>
        <v>4.8247486313141269E-2</v>
      </c>
      <c r="AS43" s="65">
        <f>(1-BP43)/SUM($BL43:BP43)</f>
        <v>4.869933464151615E-2</v>
      </c>
      <c r="AT43" s="65">
        <f>(1-BQ43)/SUM($BL43:BQ43)</f>
        <v>4.9142764042174311E-2</v>
      </c>
      <c r="AU43" s="65">
        <f>(1-BR43)/SUM($BL43:BR43)</f>
        <v>4.9577587729910104E-2</v>
      </c>
      <c r="AV43" s="65">
        <f>(1-BS43)/SUM($BL43:BS43)</f>
        <v>5.00036287389631E-2</v>
      </c>
      <c r="AW43" s="65">
        <f>(1-BT43)/SUM($BL43:BT43)</f>
        <v>5.042072055687663E-2</v>
      </c>
      <c r="AX43" s="65">
        <f>(1-BU43)/SUM($BL43:BU43)</f>
        <v>5.0828707745025035E-2</v>
      </c>
      <c r="AY43" s="65">
        <f>(1-BV43)/SUM($BL43:BV43)</f>
        <v>5.1227446540829079E-2</v>
      </c>
      <c r="AZ43" s="65">
        <f>(1-BW43)/SUM($BL43:BW43)</f>
        <v>5.1616805436547508E-2</v>
      </c>
      <c r="BA43" s="65">
        <f>(1-BX43)/SUM($BL43:BX43)</f>
        <v>5.1996665729435253E-2</v>
      </c>
      <c r="BB43" s="65">
        <f>(1-BY43)/SUM($BL43:BY43)</f>
        <v>5.2366922038033427E-2</v>
      </c>
      <c r="BC43" s="65">
        <f>(1-BZ43)/SUM($BL43:BZ43)</f>
        <v>5.2727482779389385E-2</v>
      </c>
      <c r="BD43" s="65">
        <f>(1-CA43)/SUM($BL43:CA43)</f>
        <v>5.3078270602087599E-2</v>
      </c>
      <c r="BE43" s="65">
        <f>(1-CB43)/SUM($BL43:CB43)</f>
        <v>5.3419222770164178E-2</v>
      </c>
      <c r="BF43" s="65">
        <f>(1-CC43)/SUM($BL43:CC43)</f>
        <v>5.3750291493190404E-2</v>
      </c>
      <c r="BG43" s="65">
        <f>(1-CD43)/SUM($BL43:CD43)</f>
        <v>5.407144419813583E-2</v>
      </c>
      <c r="BH43" s="65">
        <f>(1-CE43)/SUM($BL43:CE43)</f>
        <v>5.4382663738997347E-2</v>
      </c>
      <c r="BI43" s="14"/>
      <c r="BJ43" s="67"/>
      <c r="BK43" s="47"/>
      <c r="BL43" s="6">
        <f t="shared" si="54"/>
        <v>0.95525268815177289</v>
      </c>
      <c r="BM43" s="5">
        <f t="shared" si="55"/>
        <v>0.91165899867280464</v>
      </c>
      <c r="BN43" s="5">
        <f t="shared" si="56"/>
        <v>0.8692460926347193</v>
      </c>
      <c r="BO43" s="5">
        <f t="shared" si="57"/>
        <v>0.8280365813590419</v>
      </c>
      <c r="BP43" s="5">
        <f t="shared" si="58"/>
        <v>0.78804866065601697</v>
      </c>
      <c r="BQ43" s="5">
        <f t="shared" si="59"/>
        <v>0.7492962588930222</v>
      </c>
      <c r="BR43" s="5">
        <f t="shared" si="60"/>
        <v>0.71178919739114221</v>
      </c>
      <c r="BS43" s="5">
        <f t="shared" si="61"/>
        <v>0.67553336164408684</v>
      </c>
      <c r="BT43" s="5">
        <f t="shared" si="62"/>
        <v>0.64053088186094043</v>
      </c>
      <c r="BU43" s="5">
        <f t="shared" si="63"/>
        <v>0.60678032135195548</v>
      </c>
      <c r="BV43" s="5">
        <f t="shared" si="64"/>
        <v>0.57427687130442906</v>
      </c>
      <c r="BW43" s="5">
        <f t="shared" si="65"/>
        <v>0.54301255053257835</v>
      </c>
      <c r="BX43" s="5">
        <f t="shared" si="66"/>
        <v>0.5129764088307045</v>
      </c>
      <c r="BY43" s="5">
        <f t="shared" si="67"/>
        <v>0.48415473261174796</v>
      </c>
      <c r="BZ43" s="5">
        <f t="shared" si="68"/>
        <v>0.45653125157284968</v>
      </c>
      <c r="CA43" s="5">
        <f t="shared" si="69"/>
        <v>0.43008734519502484</v>
      </c>
      <c r="CB43" s="5">
        <f t="shared" si="70"/>
        <v>0.40480224795410513</v>
      </c>
      <c r="CC43" s="5">
        <f t="shared" si="71"/>
        <v>0.38065325219470336</v>
      </c>
      <c r="CD43" s="5">
        <f t="shared" si="72"/>
        <v>0.35761590769638729</v>
      </c>
      <c r="CE43" s="5">
        <f t="shared" si="73"/>
        <v>0.33566421704125216</v>
      </c>
    </row>
    <row r="44" spans="1:83" ht="14.25" customHeight="1">
      <c r="A44" s="49"/>
      <c r="B44" s="53" t="str">
        <f>INDEX(Équivalences!$C$2:$D$397,MATCH("Step 5: Derive the implied forward spots using Formula 2.",Équivalences!$C$2:$C$397,0), langue)</f>
        <v>Étape 5 : Calculer les taux immédiats à terme implicites selon la Formule 2.</v>
      </c>
      <c r="C44" s="53"/>
      <c r="D44" s="53"/>
      <c r="E44" s="53"/>
      <c r="F44" s="53"/>
      <c r="G44" s="53"/>
      <c r="H44" s="53"/>
      <c r="I44" s="53"/>
      <c r="J44" s="53"/>
      <c r="K44" s="14"/>
      <c r="M44" s="24"/>
      <c r="N44" s="42">
        <f t="shared" si="25"/>
        <v>34</v>
      </c>
      <c r="O44" s="50">
        <f t="shared" si="77"/>
        <v>0.02</v>
      </c>
      <c r="P44" s="51">
        <f t="shared" si="23"/>
        <v>23.957155223535921</v>
      </c>
      <c r="Q44" s="52">
        <f t="shared" si="51"/>
        <v>1.9963798048641346E-2</v>
      </c>
      <c r="R44" s="64">
        <f t="shared" si="52"/>
        <v>3.0762681420739273E-2</v>
      </c>
      <c r="S44" s="41"/>
      <c r="T44" s="65">
        <f t="shared" si="0"/>
        <v>4.7817977492057961E-2</v>
      </c>
      <c r="U44" s="65">
        <f t="shared" si="4"/>
        <v>4.8305249728613608E-2</v>
      </c>
      <c r="V44" s="65">
        <f t="shared" si="5"/>
        <v>4.8792520757082514E-2</v>
      </c>
      <c r="W44" s="65">
        <f t="shared" si="6"/>
        <v>4.9279790578308447E-2</v>
      </c>
      <c r="X44" s="65">
        <f t="shared" si="7"/>
        <v>4.9767059193142504E-2</v>
      </c>
      <c r="Y44" s="65">
        <f t="shared" si="8"/>
        <v>5.0254326602434674E-2</v>
      </c>
      <c r="Z44" s="65">
        <f t="shared" si="9"/>
        <v>5.0741592807035607E-2</v>
      </c>
      <c r="AA44" s="65">
        <f t="shared" si="10"/>
        <v>5.1228857807792627E-2</v>
      </c>
      <c r="AB44" s="65">
        <f t="shared" si="11"/>
        <v>5.1716121605553722E-2</v>
      </c>
      <c r="AC44" s="65">
        <f t="shared" si="12"/>
        <v>5.220338420116466E-2</v>
      </c>
      <c r="AD44" s="65">
        <f t="shared" si="13"/>
        <v>5.2690645595470542E-2</v>
      </c>
      <c r="AE44" s="65">
        <f t="shared" si="76"/>
        <v>5.3177905789316027E-2</v>
      </c>
      <c r="AF44" s="65">
        <f t="shared" si="75"/>
        <v>5.3665164783543773E-2</v>
      </c>
      <c r="AG44" s="65">
        <f t="shared" si="74"/>
        <v>5.4152422578998216E-2</v>
      </c>
      <c r="AH44" s="65">
        <f t="shared" si="53"/>
        <v>5.4639679176519795E-2</v>
      </c>
      <c r="AI44" s="65">
        <f t="shared" si="50"/>
        <v>5.5126934576949171E-2</v>
      </c>
      <c r="AJ44" s="65">
        <f t="shared" si="49"/>
        <v>5.5614188781126561E-2</v>
      </c>
      <c r="AK44" s="65">
        <f t="shared" si="48"/>
        <v>5.6101441789889517E-2</v>
      </c>
      <c r="AL44" s="65">
        <f t="shared" si="47"/>
        <v>5.6588693604076923E-2</v>
      </c>
      <c r="AM44" s="65">
        <f t="shared" si="46"/>
        <v>5.7075944224524999E-2</v>
      </c>
      <c r="AN44" s="6"/>
      <c r="AO44" s="65">
        <f>(1-BL44)/SUM($BL44:BL44)</f>
        <v>4.7817977492057899E-2</v>
      </c>
      <c r="AP44" s="65">
        <f>(1-BM44)/SUM($BL44:BM44)</f>
        <v>4.8293755763205048E-2</v>
      </c>
      <c r="AQ44" s="65">
        <f>(1-BN44)/SUM($BL44:BN44)</f>
        <v>4.8761575670913687E-2</v>
      </c>
      <c r="AR44" s="65">
        <f>(1-BO44)/SUM($BL44:BO44)</f>
        <v>4.9221225581827087E-2</v>
      </c>
      <c r="AS44" s="65">
        <f>(1-BP44)/SUM($BL44:BP44)</f>
        <v>4.967250205169646E-2</v>
      </c>
      <c r="AT44" s="65">
        <f>(1-BQ44)/SUM($BL44:BQ44)</f>
        <v>5.0115210487553567E-2</v>
      </c>
      <c r="AU44" s="65">
        <f>(1-BR44)/SUM($BL44:BR44)</f>
        <v>5.0549165808802678E-2</v>
      </c>
      <c r="AV44" s="65">
        <f>(1-BS44)/SUM($BL44:BS44)</f>
        <v>5.0974193102680879E-2</v>
      </c>
      <c r="AW44" s="65">
        <f>(1-BT44)/SUM($BL44:BT44)</f>
        <v>5.1390128269302698E-2</v>
      </c>
      <c r="AX44" s="65">
        <f>(1-BU44)/SUM($BL44:BU44)</f>
        <v>5.1796818651257334E-2</v>
      </c>
      <c r="AY44" s="65">
        <f>(1-BV44)/SUM($BL44:BV44)</f>
        <v>5.2194123642569895E-2</v>
      </c>
      <c r="AZ44" s="65">
        <f>(1-BW44)/SUM($BL44:BW44)</f>
        <v>5.2581915271699142E-2</v>
      </c>
      <c r="BA44" s="65">
        <f>(1-BX44)/SUM($BL44:BX44)</f>
        <v>5.2960078753175599E-2</v>
      </c>
      <c r="BB44" s="65">
        <f>(1-BY44)/SUM($BL44:BY44)</f>
        <v>5.3328513002482418E-2</v>
      </c>
      <c r="BC44" s="65">
        <f>(1-BZ44)/SUM($BL44:BZ44)</f>
        <v>5.3687131108822485E-2</v>
      </c>
      <c r="BD44" s="65">
        <f>(1-CA44)/SUM($BL44:CA44)</f>
        <v>5.4035860760570105E-2</v>
      </c>
      <c r="BE44" s="65">
        <f>(1-CB44)/SUM($BL44:CB44)</f>
        <v>5.4374644618380673E-2</v>
      </c>
      <c r="BF44" s="65">
        <f>(1-CC44)/SUM($BL44:CC44)</f>
        <v>5.4703440631222372E-2</v>
      </c>
      <c r="BG44" s="65">
        <f>(1-CD44)/SUM($BL44:CD44)</f>
        <v>5.5022222290947415E-2</v>
      </c>
      <c r="BH44" s="65">
        <f>(1-CE44)/SUM($BL44:CE44)</f>
        <v>5.5330978821429053E-2</v>
      </c>
      <c r="BI44" s="14"/>
      <c r="BJ44" s="67"/>
      <c r="BK44" s="47"/>
      <c r="BL44" s="6">
        <f t="shared" si="54"/>
        <v>0.95436423260602021</v>
      </c>
      <c r="BM44" s="5">
        <f t="shared" si="55"/>
        <v>0.90996456059866226</v>
      </c>
      <c r="BN44" s="5">
        <f t="shared" si="56"/>
        <v>0.86682465449129575</v>
      </c>
      <c r="BO44" s="5">
        <f t="shared" si="57"/>
        <v>0.82496356244831526</v>
      </c>
      <c r="BP44" s="5">
        <f t="shared" si="58"/>
        <v>0.78439586528959526</v>
      </c>
      <c r="BQ44" s="5">
        <f t="shared" si="59"/>
        <v>0.74513184440058022</v>
      </c>
      <c r="BR44" s="5">
        <f t="shared" si="60"/>
        <v>0.70717766097168655</v>
      </c>
      <c r="BS44" s="5">
        <f t="shared" si="61"/>
        <v>0.6705355449983007</v>
      </c>
      <c r="BT44" s="5">
        <f t="shared" si="62"/>
        <v>0.63520399249119885</v>
      </c>
      <c r="BU44" s="5">
        <f t="shared" si="63"/>
        <v>0.60117796937639811</v>
      </c>
      <c r="BV44" s="5">
        <f t="shared" si="64"/>
        <v>0.56844912060200636</v>
      </c>
      <c r="BW44" s="5">
        <f t="shared" si="65"/>
        <v>0.53700598301713665</v>
      </c>
      <c r="BX44" s="5">
        <f t="shared" si="66"/>
        <v>0.50683420064328</v>
      </c>
      <c r="BY44" s="5">
        <f t="shared" si="67"/>
        <v>0.4779167410207949</v>
      </c>
      <c r="BZ44" s="5">
        <f t="shared" si="68"/>
        <v>0.45023411138173164</v>
      </c>
      <c r="CA44" s="5">
        <f t="shared" si="69"/>
        <v>0.4237645734735575</v>
      </c>
      <c r="CB44" s="5">
        <f t="shared" si="70"/>
        <v>0.39848435593642967</v>
      </c>
      <c r="CC44" s="5">
        <f t="shared" si="71"/>
        <v>0.37436786321774768</v>
      </c>
      <c r="CD44" s="5">
        <f t="shared" si="72"/>
        <v>0.35138788009138866</v>
      </c>
      <c r="CE44" s="5">
        <f t="shared" si="73"/>
        <v>0.32951577093456635</v>
      </c>
    </row>
    <row r="45" spans="1:83" ht="14.25" customHeight="1">
      <c r="A45" s="49"/>
      <c r="B45" s="70"/>
      <c r="C45" s="13"/>
      <c r="D45" s="13"/>
      <c r="E45" s="13"/>
      <c r="F45" s="13"/>
      <c r="G45" s="13"/>
      <c r="H45" s="13"/>
      <c r="I45" s="13"/>
      <c r="J45" s="13"/>
      <c r="K45" s="14"/>
      <c r="M45" s="24"/>
      <c r="N45" s="42">
        <f t="shared" si="25"/>
        <v>35</v>
      </c>
      <c r="O45" s="50">
        <f t="shared" si="77"/>
        <v>0.02</v>
      </c>
      <c r="P45" s="51">
        <f t="shared" si="23"/>
        <v>24.467799238760705</v>
      </c>
      <c r="Q45" s="52">
        <f t="shared" si="51"/>
        <v>1.9964832372277419E-2</v>
      </c>
      <c r="R45" s="64">
        <f t="shared" si="52"/>
        <v>3.1246101389853634E-2</v>
      </c>
      <c r="S45" s="41"/>
      <c r="T45" s="65">
        <f t="shared" si="0"/>
        <v>4.8792748563908139E-2</v>
      </c>
      <c r="U45" s="65">
        <f t="shared" si="4"/>
        <v>4.9280132234191143E-2</v>
      </c>
      <c r="V45" s="65">
        <f t="shared" si="5"/>
        <v>4.9767514661870793E-2</v>
      </c>
      <c r="W45" s="65">
        <f t="shared" si="6"/>
        <v>5.0254895847825942E-2</v>
      </c>
      <c r="X45" s="65">
        <f t="shared" si="7"/>
        <v>5.0742275792931668E-2</v>
      </c>
      <c r="Y45" s="65">
        <f t="shared" si="8"/>
        <v>5.1229654498063715E-2</v>
      </c>
      <c r="Z45" s="65">
        <f t="shared" si="9"/>
        <v>5.1717031964094495E-2</v>
      </c>
      <c r="AA45" s="65">
        <f t="shared" si="10"/>
        <v>5.2204408191896867E-2</v>
      </c>
      <c r="AB45" s="65">
        <f t="shared" si="11"/>
        <v>5.2691783182341245E-2</v>
      </c>
      <c r="AC45" s="65">
        <f t="shared" si="12"/>
        <v>5.31791569362976E-2</v>
      </c>
      <c r="AD45" s="65">
        <f t="shared" si="13"/>
        <v>5.3666529454635681E-2</v>
      </c>
      <c r="AE45" s="65">
        <f t="shared" si="76"/>
        <v>5.4153900738222571E-2</v>
      </c>
      <c r="AF45" s="65">
        <f t="shared" si="75"/>
        <v>5.4641270787927354E-2</v>
      </c>
      <c r="AG45" s="65">
        <f t="shared" si="74"/>
        <v>5.5128639604615559E-2</v>
      </c>
      <c r="AH45" s="65">
        <f t="shared" si="53"/>
        <v>5.5616007189152494E-2</v>
      </c>
      <c r="AI45" s="65">
        <f t="shared" si="50"/>
        <v>5.6103373542402579E-2</v>
      </c>
      <c r="AJ45" s="65">
        <f t="shared" si="49"/>
        <v>5.6590738665228679E-2</v>
      </c>
      <c r="AK45" s="65">
        <f t="shared" si="48"/>
        <v>5.707810255849366E-2</v>
      </c>
      <c r="AL45" s="65">
        <f t="shared" si="47"/>
        <v>5.7565465223058387E-2</v>
      </c>
      <c r="AM45" s="65">
        <f t="shared" si="46"/>
        <v>5.8052826659784396E-2</v>
      </c>
      <c r="AN45" s="6"/>
      <c r="AO45" s="65">
        <f>(1-BL45)/SUM($BL45:BL45)</f>
        <v>4.8792748563908146E-2</v>
      </c>
      <c r="AP45" s="65">
        <f>(1-BM45)/SUM($BL45:BM45)</f>
        <v>4.9268409201984269E-2</v>
      </c>
      <c r="AQ45" s="65">
        <f>(1-BN45)/SUM($BL45:BN45)</f>
        <v>4.9735959263639461E-2</v>
      </c>
      <c r="AR45" s="65">
        <f>(1-BO45)/SUM($BL45:BO45)</f>
        <v>5.0195187880021433E-2</v>
      </c>
      <c r="AS45" s="65">
        <f>(1-BP45)/SUM($BL45:BP45)</f>
        <v>5.0645892684427186E-2</v>
      </c>
      <c r="AT45" s="65">
        <f>(1-BQ45)/SUM($BL45:BQ45)</f>
        <v>5.1087880490665129E-2</v>
      </c>
      <c r="AU45" s="65">
        <f>(1-BR45)/SUM($BL45:BR45)</f>
        <v>5.1520967968822017E-2</v>
      </c>
      <c r="AV45" s="65">
        <f>(1-BS45)/SUM($BL45:BS45)</f>
        <v>5.1944982313666892E-2</v>
      </c>
      <c r="AW45" s="65">
        <f>(1-BT45)/SUM($BL45:BT45)</f>
        <v>5.235976190063861E-2</v>
      </c>
      <c r="AX45" s="65">
        <f>(1-BU45)/SUM($BL45:BU45)</f>
        <v>5.2765156924170838E-2</v>
      </c>
      <c r="AY45" s="65">
        <f>(1-BV45)/SUM($BL45:BV45)</f>
        <v>5.3161030012928288E-2</v>
      </c>
      <c r="AZ45" s="65">
        <f>(1-BW45)/SUM($BL45:BW45)</f>
        <v>5.3547256816418268E-2</v>
      </c>
      <c r="BA45" s="65">
        <f>(1-BX45)/SUM($BL45:BX45)</f>
        <v>5.3923726557402712E-2</v>
      </c>
      <c r="BB45" s="65">
        <f>(1-BY45)/SUM($BL45:BY45)</f>
        <v>5.4290342544529982E-2</v>
      </c>
      <c r="BC45" s="65">
        <f>(1-BZ45)/SUM($BL45:BZ45)</f>
        <v>5.4647022639720905E-2</v>
      </c>
      <c r="BD45" s="65">
        <f>(1-CA45)/SUM($BL45:CA45)</f>
        <v>5.4993699674982743E-2</v>
      </c>
      <c r="BE45" s="65">
        <f>(1-CB45)/SUM($BL45:CB45)</f>
        <v>5.533032181357439E-2</v>
      </c>
      <c r="BF45" s="65">
        <f>(1-CC45)/SUM($BL45:CC45)</f>
        <v>5.5656852850763897E-2</v>
      </c>
      <c r="BG45" s="65">
        <f>(1-CD45)/SUM($BL45:CD45)</f>
        <v>5.5973272449806877E-2</v>
      </c>
      <c r="BH45" s="65">
        <f>(1-CE45)/SUM($BL45:CE45)</f>
        <v>5.627957630925258E-2</v>
      </c>
      <c r="BI45" s="14"/>
      <c r="BJ45" s="67"/>
      <c r="BK45" s="47"/>
      <c r="BL45" s="6">
        <f t="shared" si="54"/>
        <v>0.95347722547593972</v>
      </c>
      <c r="BM45" s="5">
        <f t="shared" si="55"/>
        <v>0.90827445630932135</v>
      </c>
      <c r="BN45" s="5">
        <f t="shared" si="56"/>
        <v>0.86441165150923727</v>
      </c>
      <c r="BO45" s="5">
        <f t="shared" si="57"/>
        <v>0.82190408912087687</v>
      </c>
      <c r="BP45" s="5">
        <f t="shared" si="58"/>
        <v>0.78076254216474261</v>
      </c>
      <c r="BQ45" s="5">
        <f t="shared" si="59"/>
        <v>0.74099346644691699</v>
      </c>
      <c r="BR45" s="5">
        <f t="shared" si="60"/>
        <v>0.70259919859665454</v>
      </c>
      <c r="BS45" s="5">
        <f t="shared" si="61"/>
        <v>0.66557816270700842</v>
      </c>
      <c r="BT45" s="5">
        <f t="shared" si="62"/>
        <v>0.6299250839847601</v>
      </c>
      <c r="BU45" s="5">
        <f t="shared" si="63"/>
        <v>0.59563120785633428</v>
      </c>
      <c r="BV45" s="5">
        <f t="shared" si="64"/>
        <v>0.56268452302615068</v>
      </c>
      <c r="BW45" s="5">
        <f t="shared" si="65"/>
        <v>0.53106998704184483</v>
      </c>
      <c r="BX45" s="5">
        <f t="shared" si="66"/>
        <v>0.50076975298600579</v>
      </c>
      <c r="BY45" s="5">
        <f t="shared" si="67"/>
        <v>0.47176339598594069</v>
      </c>
      <c r="BZ45" s="5">
        <f t="shared" si="68"/>
        <v>0.44402813830984755</v>
      </c>
      <c r="CA45" s="5">
        <f t="shared" si="69"/>
        <v>0.41753907189953665</v>
      </c>
      <c r="CB45" s="5">
        <f t="shared" si="70"/>
        <v>0.39226937727484346</v>
      </c>
      <c r="CC45" s="5">
        <f t="shared" si="71"/>
        <v>0.36819053783258066</v>
      </c>
      <c r="CD45" s="5">
        <f t="shared" si="72"/>
        <v>0.34527254865239404</v>
      </c>
      <c r="CE45" s="5">
        <f t="shared" si="73"/>
        <v>0.32348411901214247</v>
      </c>
    </row>
    <row r="46" spans="1:83" ht="14.25" customHeight="1">
      <c r="A46" s="49"/>
      <c r="B46" s="79" t="str">
        <f>INDEX(Équivalences!$C$2:$D$397,MATCH("Step 6: Determine the equivalent implied forward par yields using Formula 3.",Équivalences!$C$2:$C$397,0), langue)</f>
        <v>Étape 6 : Déterminer les rendements au pair à terme implicites équivalents au moyen de la formule 3.</v>
      </c>
      <c r="C46" s="79"/>
      <c r="D46" s="79"/>
      <c r="E46" s="79"/>
      <c r="F46" s="79"/>
      <c r="G46" s="79"/>
      <c r="H46" s="79"/>
      <c r="I46" s="79"/>
      <c r="J46" s="79"/>
      <c r="K46" s="14"/>
      <c r="M46" s="24"/>
      <c r="N46" s="42">
        <f t="shared" ref="N46:N90" si="78">N45+1</f>
        <v>36</v>
      </c>
      <c r="O46" s="50">
        <f t="shared" si="77"/>
        <v>0.02</v>
      </c>
      <c r="P46" s="51">
        <f t="shared" si="23"/>
        <v>24.968430626235985</v>
      </c>
      <c r="Q46" s="52">
        <f t="shared" si="51"/>
        <v>1.9965809234452347E-2</v>
      </c>
      <c r="R46" s="64">
        <f t="shared" si="52"/>
        <v>3.1729521358967998E-2</v>
      </c>
      <c r="S46" s="41"/>
      <c r="T46" s="65">
        <f t="shared" si="0"/>
        <v>4.9767742396164216E-2</v>
      </c>
      <c r="U46" s="65">
        <f t="shared" si="4"/>
        <v>5.0255237394912999E-2</v>
      </c>
      <c r="V46" s="65">
        <f t="shared" si="5"/>
        <v>5.074273111661487E-2</v>
      </c>
      <c r="W46" s="65">
        <f t="shared" si="6"/>
        <v>5.1230223562168442E-2</v>
      </c>
      <c r="X46" s="65">
        <f t="shared" si="7"/>
        <v>5.1717714732475217E-2</v>
      </c>
      <c r="Y46" s="65">
        <f t="shared" si="8"/>
        <v>5.2205204628431812E-2</v>
      </c>
      <c r="Z46" s="65">
        <f t="shared" si="9"/>
        <v>5.2692693250936173E-2</v>
      </c>
      <c r="AA46" s="65">
        <f t="shared" si="10"/>
        <v>5.3180180600883364E-2</v>
      </c>
      <c r="AB46" s="65">
        <f t="shared" si="11"/>
        <v>5.3667666679168224E-2</v>
      </c>
      <c r="AC46" s="65">
        <f t="shared" si="12"/>
        <v>5.4155151486685371E-2</v>
      </c>
      <c r="AD46" s="65">
        <f t="shared" si="13"/>
        <v>5.4642635024326092E-2</v>
      </c>
      <c r="AE46" s="65">
        <f t="shared" si="76"/>
        <v>5.5130117292985004E-2</v>
      </c>
      <c r="AF46" s="65">
        <f t="shared" si="75"/>
        <v>5.561759829355184E-2</v>
      </c>
      <c r="AG46" s="65">
        <f t="shared" si="74"/>
        <v>5.6105078026916777E-2</v>
      </c>
      <c r="AH46" s="65">
        <f t="shared" si="53"/>
        <v>5.6592556493968882E-2</v>
      </c>
      <c r="AI46" s="65">
        <f t="shared" si="50"/>
        <v>5.7080033695595223E-2</v>
      </c>
      <c r="AJ46" s="65">
        <f t="shared" si="49"/>
        <v>5.7567509632683755E-2</v>
      </c>
      <c r="AK46" s="65">
        <f t="shared" si="48"/>
        <v>5.8054984306119994E-2</v>
      </c>
      <c r="AL46" s="65">
        <f t="shared" si="47"/>
        <v>5.8542457716789453E-2</v>
      </c>
      <c r="AM46" s="65">
        <f t="shared" si="46"/>
        <v>5.9029929865575648E-2</v>
      </c>
      <c r="AN46" s="6"/>
      <c r="AO46" s="65">
        <f>(1-BL46)/SUM($BL46:BL46)</f>
        <v>4.9767742396164251E-2</v>
      </c>
      <c r="AP46" s="65">
        <f>(1-BM46)/SUM($BL46:BM46)</f>
        <v>5.0243285358796616E-2</v>
      </c>
      <c r="AQ46" s="65">
        <f>(1-BN46)/SUM($BL46:BN46)</f>
        <v>5.0710565587685538E-2</v>
      </c>
      <c r="AR46" s="65">
        <f>(1-BO46)/SUM($BL46:BO46)</f>
        <v>5.11693729992308E-2</v>
      </c>
      <c r="AS46" s="65">
        <f>(1-BP46)/SUM($BL46:BP46)</f>
        <v>5.1619506333669844E-2</v>
      </c>
      <c r="AT46" s="65">
        <f>(1-BQ46)/SUM($BL46:BQ46)</f>
        <v>5.2060773849678783E-2</v>
      </c>
      <c r="AU46" s="65">
        <f>(1-BR46)/SUM($BL46:BR46)</f>
        <v>5.249299401479908E-2</v>
      </c>
      <c r="AV46" s="65">
        <f>(1-BS46)/SUM($BL46:BS46)</f>
        <v>5.2915996186631703E-2</v>
      </c>
      <c r="AW46" s="65">
        <f>(1-BT46)/SUM($BL46:BT46)</f>
        <v>5.332962127952303E-2</v>
      </c>
      <c r="AX46" s="65">
        <f>(1-BU46)/SUM($BL46:BU46)</f>
        <v>5.3733722411238097E-2</v>
      </c>
      <c r="AY46" s="65">
        <f>(1-BV46)/SUM($BL46:BV46)</f>
        <v>5.4128165523969929E-2</v>
      </c>
      <c r="AZ46" s="65">
        <f>(1-BW46)/SUM($BL46:BW46)</f>
        <v>5.4512829973952404E-2</v>
      </c>
      <c r="BA46" s="65">
        <f>(1-BX46)/SUM($BL46:BX46)</f>
        <v>5.4887609083886249E-2</v>
      </c>
      <c r="BB46" s="65">
        <f>(1-BY46)/SUM($BL46:BY46)</f>
        <v>5.5252410652470961E-2</v>
      </c>
      <c r="BC46" s="65">
        <f>(1-BZ46)/SUM($BL46:BZ46)</f>
        <v>5.5607157415421452E-2</v>
      </c>
      <c r="BD46" s="65">
        <f>(1-CA46)/SUM($BL46:CA46)</f>
        <v>5.5951787452563087E-2</v>
      </c>
      <c r="BE46" s="65">
        <f>(1-CB46)/SUM($BL46:CB46)</f>
        <v>5.6286254535876989E-2</v>
      </c>
      <c r="BF46" s="65">
        <f>(1-CC46)/SUM($BL46:CC46)</f>
        <v>5.6610528413718074E-2</v>
      </c>
      <c r="BG46" s="65">
        <f>(1-CD46)/SUM($BL46:CD46)</f>
        <v>5.6924595026881762E-2</v>
      </c>
      <c r="BH46" s="65">
        <f>(1-CE46)/SUM($BL46:CE46)</f>
        <v>5.7228456652699912E-2</v>
      </c>
      <c r="BI46" s="14"/>
      <c r="BJ46" s="67"/>
      <c r="BK46" s="47"/>
      <c r="BL46" s="6">
        <f t="shared" si="54"/>
        <v>0.95259166348304236</v>
      </c>
      <c r="BM46" s="5">
        <f t="shared" si="55"/>
        <v>0.90658867187704018</v>
      </c>
      <c r="BN46" s="5">
        <f t="shared" si="56"/>
        <v>0.86200704868499944</v>
      </c>
      <c r="BO46" s="5">
        <f t="shared" si="57"/>
        <v>0.8188580925727047</v>
      </c>
      <c r="BP46" s="5">
        <f t="shared" si="58"/>
        <v>0.7771485743427603</v>
      </c>
      <c r="BQ46" s="5">
        <f t="shared" si="59"/>
        <v>0.73688094463498477</v>
      </c>
      <c r="BR46" s="5">
        <f t="shared" si="60"/>
        <v>0.6980535506495994</v>
      </c>
      <c r="BS46" s="5">
        <f t="shared" si="61"/>
        <v>0.66066086022172754</v>
      </c>
      <c r="BT46" s="5">
        <f t="shared" si="62"/>
        <v>0.62469369161808552</v>
      </c>
      <c r="BU46" s="5">
        <f t="shared" si="63"/>
        <v>0.59013944747896752</v>
      </c>
      <c r="BV46" s="5">
        <f t="shared" si="64"/>
        <v>0.55698235138941554</v>
      </c>
      <c r="BW46" s="5">
        <f t="shared" si="65"/>
        <v>0.52520368563186226</v>
      </c>
      <c r="BX46" s="5">
        <f t="shared" si="66"/>
        <v>0.49478202874793786</v>
      </c>
      <c r="BY46" s="5">
        <f t="shared" si="67"/>
        <v>0.46569349161769924</v>
      </c>
      <c r="BZ46" s="5">
        <f t="shared" si="68"/>
        <v>0.4379119508503368</v>
      </c>
      <c r="CA46" s="5">
        <f t="shared" si="69"/>
        <v>0.41140927836953578</v>
      </c>
      <c r="CB46" s="5">
        <f t="shared" si="70"/>
        <v>0.38615556616865654</v>
      </c>
      <c r="CC46" s="5">
        <f t="shared" si="71"/>
        <v>0.36211934530480949</v>
      </c>
      <c r="CD46" s="5">
        <f t="shared" si="72"/>
        <v>0.33926779829551995</v>
      </c>
      <c r="CE46" s="5">
        <f t="shared" si="73"/>
        <v>0.31756696417667013</v>
      </c>
    </row>
    <row r="47" spans="1:83" ht="14.25" customHeight="1">
      <c r="A47" s="57"/>
      <c r="B47" s="80"/>
      <c r="C47" s="81"/>
      <c r="D47" s="81"/>
      <c r="E47" s="81"/>
      <c r="F47" s="81"/>
      <c r="G47" s="81"/>
      <c r="H47" s="81"/>
      <c r="I47" s="81"/>
      <c r="J47" s="81"/>
      <c r="K47" s="60"/>
      <c r="M47" s="24"/>
      <c r="N47" s="42">
        <f t="shared" si="78"/>
        <v>37</v>
      </c>
      <c r="O47" s="50">
        <f t="shared" si="77"/>
        <v>0.02</v>
      </c>
      <c r="P47" s="51">
        <f t="shared" si="23"/>
        <v>25.459245711996065</v>
      </c>
      <c r="Q47" s="52">
        <f t="shared" si="51"/>
        <v>1.9966733294127792E-2</v>
      </c>
      <c r="R47" s="64">
        <f t="shared" si="52"/>
        <v>3.2212941328082362E-2</v>
      </c>
      <c r="S47" s="41"/>
      <c r="T47" s="65">
        <f t="shared" si="0"/>
        <v>5.0742958778379421E-2</v>
      </c>
      <c r="U47" s="65">
        <f t="shared" si="4"/>
        <v>5.1230565000480732E-2</v>
      </c>
      <c r="V47" s="65">
        <f t="shared" si="5"/>
        <v>5.1718169911143308E-2</v>
      </c>
      <c r="W47" s="65">
        <f t="shared" si="6"/>
        <v>5.2205773511294185E-2</v>
      </c>
      <c r="X47" s="65">
        <f t="shared" si="7"/>
        <v>5.2693375801854403E-2</v>
      </c>
      <c r="Y47" s="65">
        <f t="shared" si="8"/>
        <v>5.3180976783747003E-2</v>
      </c>
      <c r="Z47" s="65">
        <f t="shared" si="9"/>
        <v>5.3668576457891914E-2</v>
      </c>
      <c r="AA47" s="65">
        <f t="shared" si="10"/>
        <v>5.4156174825208403E-2</v>
      </c>
      <c r="AB47" s="65">
        <f t="shared" si="11"/>
        <v>5.4643771886615955E-2</v>
      </c>
      <c r="AC47" s="65">
        <f t="shared" si="12"/>
        <v>5.5131367643030948E-2</v>
      </c>
      <c r="AD47" s="65">
        <f t="shared" si="13"/>
        <v>5.5618962095372426E-2</v>
      </c>
      <c r="AE47" s="65">
        <f t="shared" si="76"/>
        <v>5.610655524455499E-2</v>
      </c>
      <c r="AF47" s="65">
        <f t="shared" si="75"/>
        <v>5.6594147091493685E-2</v>
      </c>
      <c r="AG47" s="65">
        <f t="shared" si="74"/>
        <v>5.7081737637101782E-2</v>
      </c>
      <c r="AH47" s="65">
        <f t="shared" si="53"/>
        <v>5.7569326882291216E-2</v>
      </c>
      <c r="AI47" s="65">
        <f t="shared" si="50"/>
        <v>5.8056914827974593E-2</v>
      </c>
      <c r="AJ47" s="65">
        <f t="shared" si="49"/>
        <v>5.8544501475061628E-2</v>
      </c>
      <c r="AK47" s="65">
        <f t="shared" si="48"/>
        <v>5.9032086824462704E-2</v>
      </c>
      <c r="AL47" s="65">
        <f t="shared" si="47"/>
        <v>5.9519670877085762E-2</v>
      </c>
      <c r="AM47" s="65">
        <f t="shared" si="46"/>
        <v>6.0007253633837854E-2</v>
      </c>
      <c r="AN47" s="6"/>
      <c r="AO47" s="65">
        <f>(1-BL47)/SUM($BL47:BL47)</f>
        <v>5.0742958778379386E-2</v>
      </c>
      <c r="AP47" s="65">
        <f>(1-BM47)/SUM($BL47:BM47)</f>
        <v>5.1218384023487475E-2</v>
      </c>
      <c r="AQ47" s="65">
        <f>(1-BN47)/SUM($BL47:BN47)</f>
        <v>5.168539443350198E-2</v>
      </c>
      <c r="AR47" s="65">
        <f>(1-BO47)/SUM($BL47:BO47)</f>
        <v>5.2143780731195168E-2</v>
      </c>
      <c r="AS47" s="65">
        <f>(1-BP47)/SUM($BL47:BP47)</f>
        <v>5.2593342793607049E-2</v>
      </c>
      <c r="AT47" s="65">
        <f>(1-BQ47)/SUM($BL47:BQ47)</f>
        <v>5.3033890362971611E-2</v>
      </c>
      <c r="AU47" s="65">
        <f>(1-BR47)/SUM($BL47:BR47)</f>
        <v>5.3465243751737251E-2</v>
      </c>
      <c r="AV47" s="65">
        <f>(1-BS47)/SUM($BL47:BS47)</f>
        <v>5.3887234536405614E-2</v>
      </c>
      <c r="AW47" s="65">
        <f>(1-BT47)/SUM($BL47:BT47)</f>
        <v>5.4299706234630089E-2</v>
      </c>
      <c r="AX47" s="65">
        <f>(1-BU47)/SUM($BL47:BU47)</f>
        <v>5.4702514959834261E-2</v>
      </c>
      <c r="AY47" s="65">
        <f>(1-BV47)/SUM($BL47:BV47)</f>
        <v>5.5095530047475874E-2</v>
      </c>
      <c r="AZ47" s="65">
        <f>(1-BW47)/SUM($BL47:BW47)</f>
        <v>5.5478634646987941E-2</v>
      </c>
      <c r="BA47" s="65">
        <f>(1-BX47)/SUM($BL47:BX47)</f>
        <v>5.5851726273457351E-2</v>
      </c>
      <c r="BB47" s="65">
        <f>(1-BY47)/SUM($BL47:BY47)</f>
        <v>5.6214717313143134E-2</v>
      </c>
      <c r="BC47" s="65">
        <f>(1-BZ47)/SUM($BL47:BZ47)</f>
        <v>5.6567535477112234E-2</v>
      </c>
      <c r="BD47" s="65">
        <f>(1-CA47)/SUM($BL47:CA47)</f>
        <v>5.6910124197497823E-2</v>
      </c>
      <c r="BE47" s="65">
        <f>(1-CB47)/SUM($BL47:CB47)</f>
        <v>5.72424429612041E-2</v>
      </c>
      <c r="BF47" s="65">
        <f>(1-CC47)/SUM($BL47:CC47)</f>
        <v>5.7564467576299481E-2</v>
      </c>
      <c r="BG47" s="65">
        <f>(1-CD47)/SUM($BL47:CD47)</f>
        <v>5.7876190366810562E-2</v>
      </c>
      <c r="BH47" s="65">
        <f>(1-CE47)/SUM($BL47:CE47)</f>
        <v>5.8177620292212871E-2</v>
      </c>
      <c r="BI47" s="14"/>
      <c r="BJ47" s="67"/>
      <c r="BK47" s="47"/>
      <c r="BL47" s="6">
        <f t="shared" si="54"/>
        <v>0.95170754335829721</v>
      </c>
      <c r="BM47" s="5">
        <f t="shared" si="55"/>
        <v>0.90490719342763215</v>
      </c>
      <c r="BN47" s="5">
        <f t="shared" si="56"/>
        <v>0.85961081118287719</v>
      </c>
      <c r="BO47" s="5">
        <f t="shared" si="57"/>
        <v>0.81582550439419643</v>
      </c>
      <c r="BP47" s="5">
        <f t="shared" si="58"/>
        <v>0.7735538456642207</v>
      </c>
      <c r="BQ47" s="5">
        <f t="shared" si="59"/>
        <v>0.73279409993705635</v>
      </c>
      <c r="BR47" s="5">
        <f t="shared" si="60"/>
        <v>0.69354045972447032</v>
      </c>
      <c r="BS47" s="5">
        <f t="shared" si="61"/>
        <v>0.65578328633904193</v>
      </c>
      <c r="BT47" s="5">
        <f t="shared" si="62"/>
        <v>0.6195093554789155</v>
      </c>
      <c r="BU47" s="5">
        <f t="shared" si="63"/>
        <v>0.58470210557257318</v>
      </c>
      <c r="BV47" s="5">
        <f t="shared" si="64"/>
        <v>0.55134188736390455</v>
      </c>
      <c r="BW47" s="5">
        <f t="shared" si="65"/>
        <v>0.51940621329691772</v>
      </c>
      <c r="BX47" s="5">
        <f t="shared" si="66"/>
        <v>0.48887000534409908</v>
      </c>
      <c r="BY47" s="5">
        <f t="shared" si="67"/>
        <v>0.4597058400124584</v>
      </c>
      <c r="BZ47" s="5">
        <f t="shared" si="68"/>
        <v>0.43188418935482265</v>
      </c>
      <c r="CA47" s="5">
        <f t="shared" si="69"/>
        <v>0.40537365691058191</v>
      </c>
      <c r="CB47" s="5">
        <f t="shared" si="70"/>
        <v>0.38014120759860687</v>
      </c>
      <c r="CC47" s="5">
        <f t="shared" si="71"/>
        <v>0.35615239068440552</v>
      </c>
      <c r="CD47" s="5">
        <f t="shared" si="72"/>
        <v>0.33337155504334748</v>
      </c>
      <c r="CE47" s="5">
        <f t="shared" si="73"/>
        <v>0.31176205604048229</v>
      </c>
    </row>
    <row r="48" spans="1:83" ht="14.25" customHeight="1">
      <c r="M48" s="24"/>
      <c r="N48" s="42">
        <f t="shared" si="78"/>
        <v>38</v>
      </c>
      <c r="O48" s="50">
        <f t="shared" si="77"/>
        <v>0.02</v>
      </c>
      <c r="P48" s="51">
        <f t="shared" si="23"/>
        <v>25.940436972545161</v>
      </c>
      <c r="Q48" s="52">
        <f t="shared" si="51"/>
        <v>1.9967608719855479E-2</v>
      </c>
      <c r="R48" s="64">
        <f t="shared" si="52"/>
        <v>3.2696361297196726E-2</v>
      </c>
      <c r="S48" s="41"/>
      <c r="T48" s="65">
        <f t="shared" si="0"/>
        <v>5.1718397500403412E-2</v>
      </c>
      <c r="U48" s="65">
        <f t="shared" si="4"/>
        <v>5.2206114840860129E-2</v>
      </c>
      <c r="V48" s="65">
        <f t="shared" si="5"/>
        <v>5.2693830835549349E-2</v>
      </c>
      <c r="W48" s="65">
        <f t="shared" si="6"/>
        <v>5.3181545485415871E-2</v>
      </c>
      <c r="X48" s="65">
        <f t="shared" si="7"/>
        <v>5.3669258791407826E-2</v>
      </c>
      <c r="Y48" s="65">
        <f t="shared" si="8"/>
        <v>5.4156970754469791E-2</v>
      </c>
      <c r="Z48" s="65">
        <f t="shared" si="9"/>
        <v>5.46446813755459E-2</v>
      </c>
      <c r="AA48" s="65">
        <f t="shared" si="10"/>
        <v>5.513239065558051E-2</v>
      </c>
      <c r="AB48" s="65">
        <f t="shared" si="11"/>
        <v>5.5620098595514866E-2</v>
      </c>
      <c r="AC48" s="65">
        <f t="shared" si="12"/>
        <v>5.6107805196292659E-2</v>
      </c>
      <c r="AD48" s="65">
        <f t="shared" si="13"/>
        <v>5.6595510458853138E-2</v>
      </c>
      <c r="AE48" s="65">
        <f t="shared" si="76"/>
        <v>5.7083214384135772E-2</v>
      </c>
      <c r="AF48" s="65">
        <f t="shared" si="75"/>
        <v>5.7570916973079145E-2</v>
      </c>
      <c r="AG48" s="65">
        <f t="shared" si="74"/>
        <v>5.8058618226619174E-2</v>
      </c>
      <c r="AH48" s="65">
        <f t="shared" si="53"/>
        <v>5.8546318145693332E-2</v>
      </c>
      <c r="AI48" s="65">
        <f t="shared" si="50"/>
        <v>5.9034016731235761E-2</v>
      </c>
      <c r="AJ48" s="65">
        <f t="shared" si="49"/>
        <v>5.9521713984181712E-2</v>
      </c>
      <c r="AK48" s="65">
        <f t="shared" si="48"/>
        <v>6.0009409905463107E-2</v>
      </c>
      <c r="AL48" s="65">
        <f t="shared" si="47"/>
        <v>6.0497104496011644E-2</v>
      </c>
      <c r="AM48" s="65">
        <f t="shared" si="46"/>
        <v>6.0984797756759468E-2</v>
      </c>
      <c r="AN48" s="6"/>
      <c r="AO48" s="65">
        <f>(1-BL48)/SUM($BL48:BL48)</f>
        <v>5.1718397500403454E-2</v>
      </c>
      <c r="AP48" s="65">
        <f>(1-BM48)/SUM($BL48:BM48)</f>
        <v>5.2193704986166316E-2</v>
      </c>
      <c r="AQ48" s="65">
        <f>(1-BN48)/SUM($BL48:BN48)</f>
        <v>5.2660445591801434E-2</v>
      </c>
      <c r="AR48" s="65">
        <f>(1-BO48)/SUM($BL48:BO48)</f>
        <v>5.3118410867902942E-2</v>
      </c>
      <c r="AS48" s="65">
        <f>(1-BP48)/SUM($BL48:BP48)</f>
        <v>5.3567401858662524E-2</v>
      </c>
      <c r="AT48" s="65">
        <f>(1-BQ48)/SUM($BL48:BQ48)</f>
        <v>5.400722982913838E-2</v>
      </c>
      <c r="AU48" s="65">
        <f>(1-BR48)/SUM($BL48:BR48)</f>
        <v>5.4437716984825392E-2</v>
      </c>
      <c r="AV48" s="65">
        <f>(1-BS48)/SUM($BL48:BS48)</f>
        <v>5.4858697177949167E-2</v>
      </c>
      <c r="AW48" s="65">
        <f>(1-BT48)/SUM($BL48:BT48)</f>
        <v>5.5270016594675259E-2</v>
      </c>
      <c r="AX48" s="65">
        <f>(1-BU48)/SUM($BL48:BU48)</f>
        <v>5.5671534417250146E-2</v>
      </c>
      <c r="AY48" s="65">
        <f>(1-BV48)/SUM($BL48:BV48)</f>
        <v>5.6063123454945511E-2</v>
      </c>
      <c r="AZ48" s="65">
        <f>(1-BW48)/SUM($BL48:BW48)</f>
        <v>5.6444670737658145E-2</v>
      </c>
      <c r="BA48" s="65">
        <f>(1-BX48)/SUM($BL48:BX48)</f>
        <v>5.6816078066011362E-2</v>
      </c>
      <c r="BB48" s="65">
        <f>(1-BY48)/SUM($BL48:BY48)</f>
        <v>5.7177262511928062E-2</v>
      </c>
      <c r="BC48" s="65">
        <f>(1-BZ48)/SUM($BL48:BZ48)</f>
        <v>5.7528156863834133E-2</v>
      </c>
      <c r="BD48" s="65">
        <f>(1-CA48)/SUM($BL48:CA48)</f>
        <v>5.7868710010916757E-2</v>
      </c>
      <c r="BE48" s="65">
        <f>(1-CB48)/SUM($BL48:CB48)</f>
        <v>5.8198887261248874E-2</v>
      </c>
      <c r="BF48" s="65">
        <f>(1-CC48)/SUM($BL48:CC48)</f>
        <v>5.8518670589022333E-2</v>
      </c>
      <c r="BG48" s="65">
        <f>(1-CD48)/SUM($BL48:CD48)</f>
        <v>5.8828058806691452E-2</v>
      </c>
      <c r="BH48" s="65">
        <f>(1-CE48)/SUM($BL48:CE48)</f>
        <v>5.9127067658430746E-2</v>
      </c>
      <c r="BI48" s="14"/>
      <c r="BJ48" s="67"/>
      <c r="BK48" s="47"/>
      <c r="BL48" s="6">
        <f t="shared" si="54"/>
        <v>0.95082486184198978</v>
      </c>
      <c r="BM48" s="5">
        <f t="shared" si="55"/>
        <v>0.90323000714017943</v>
      </c>
      <c r="BN48" s="5">
        <f t="shared" si="56"/>
        <v>0.85722290433402215</v>
      </c>
      <c r="BO48" s="5">
        <f t="shared" si="57"/>
        <v>0.81280625656761674</v>
      </c>
      <c r="BP48" s="5">
        <f t="shared" si="58"/>
        <v>0.76997824074320209</v>
      </c>
      <c r="BQ48" s="5">
        <f t="shared" si="59"/>
        <v>0.72873275468340737</v>
      </c>
      <c r="BR48" s="5">
        <f t="shared" si="60"/>
        <v>0.68905967060529461</v>
      </c>
      <c r="BS48" s="5">
        <f t="shared" si="61"/>
        <v>0.65094509316680349</v>
      </c>
      <c r="BT48" s="5">
        <f t="shared" si="62"/>
        <v>0.61437162041327398</v>
      </c>
      <c r="BU48" s="5">
        <f t="shared" si="63"/>
        <v>0.57931860602720464</v>
      </c>
      <c r="BV48" s="5">
        <f t="shared" si="64"/>
        <v>0.54576242136747655</v>
      </c>
      <c r="BW48" s="5">
        <f t="shared" si="65"/>
        <v>0.51367671587326136</v>
      </c>
      <c r="BX48" s="5">
        <f t="shared" si="66"/>
        <v>0.48303267450239062</v>
      </c>
      <c r="BY48" s="5">
        <f t="shared" si="67"/>
        <v>0.45379927097228817</v>
      </c>
      <c r="BZ48" s="5">
        <f t="shared" si="68"/>
        <v>0.42594351567303695</v>
      </c>
      <c r="CA48" s="5">
        <f t="shared" si="69"/>
        <v>0.39943069722574648</v>
      </c>
      <c r="CB48" s="5">
        <f t="shared" si="70"/>
        <v>0.37422461676372437</v>
      </c>
      <c r="CC48" s="5">
        <f t="shared" si="71"/>
        <v>0.35028781411879584</v>
      </c>
      <c r="CD48" s="5">
        <f t="shared" si="72"/>
        <v>0.32758178519880787</v>
      </c>
      <c r="CE48" s="5">
        <f t="shared" si="73"/>
        <v>0.30606718994486204</v>
      </c>
    </row>
    <row r="49" spans="1:83" ht="14.25" customHeight="1">
      <c r="A49" s="7"/>
      <c r="B49" s="8"/>
      <c r="C49" s="8"/>
      <c r="D49" s="8"/>
      <c r="E49" s="8"/>
      <c r="F49" s="8"/>
      <c r="G49" s="8"/>
      <c r="H49" s="8"/>
      <c r="I49" s="8"/>
      <c r="J49" s="8"/>
      <c r="K49" s="10"/>
      <c r="M49" s="24"/>
      <c r="N49" s="42">
        <f t="shared" si="78"/>
        <v>39</v>
      </c>
      <c r="O49" s="50">
        <f t="shared" si="77"/>
        <v>0.02</v>
      </c>
      <c r="P49" s="51">
        <f t="shared" si="23"/>
        <v>26.412193110338393</v>
      </c>
      <c r="Q49" s="52">
        <f t="shared" si="51"/>
        <v>1.9968439252650683E-2</v>
      </c>
      <c r="R49" s="64">
        <f t="shared" si="52"/>
        <v>3.317978126631109E-2</v>
      </c>
      <c r="S49" s="41"/>
      <c r="T49" s="65">
        <f t="shared" si="0"/>
        <v>5.2694058352319217E-2</v>
      </c>
      <c r="U49" s="65">
        <f t="shared" si="4"/>
        <v>5.3181886706266557E-2</v>
      </c>
      <c r="V49" s="65">
        <f t="shared" si="5"/>
        <v>5.3669713680167153E-2</v>
      </c>
      <c r="W49" s="65">
        <f t="shared" si="6"/>
        <v>5.415753927499467E-2</v>
      </c>
      <c r="X49" s="65">
        <f t="shared" si="7"/>
        <v>5.4645363491718113E-2</v>
      </c>
      <c r="Y49" s="65">
        <f t="shared" si="8"/>
        <v>5.5133186331306927E-2</v>
      </c>
      <c r="Z49" s="65">
        <f t="shared" si="9"/>
        <v>5.5621007794730337E-2</v>
      </c>
      <c r="AA49" s="65">
        <f t="shared" si="10"/>
        <v>5.6108827882953571E-2</v>
      </c>
      <c r="AB49" s="65">
        <f t="shared" si="11"/>
        <v>5.6596646596946298E-2</v>
      </c>
      <c r="AC49" s="65">
        <f t="shared" si="12"/>
        <v>5.7084463937671526E-2</v>
      </c>
      <c r="AD49" s="65">
        <f t="shared" si="13"/>
        <v>5.7572279906094037E-2</v>
      </c>
      <c r="AE49" s="65">
        <f t="shared" si="76"/>
        <v>5.8060094503176396E-2</v>
      </c>
      <c r="AF49" s="65">
        <f t="shared" si="75"/>
        <v>5.8547907729879611E-2</v>
      </c>
      <c r="AG49" s="65">
        <f t="shared" si="74"/>
        <v>5.9035719587165358E-2</v>
      </c>
      <c r="AH49" s="65">
        <f t="shared" si="53"/>
        <v>5.952353007599287E-2</v>
      </c>
      <c r="AI49" s="65">
        <f t="shared" si="50"/>
        <v>6.0011339197321378E-2</v>
      </c>
      <c r="AJ49" s="65">
        <f t="shared" si="49"/>
        <v>6.0499146952107452E-2</v>
      </c>
      <c r="AK49" s="65">
        <f t="shared" si="48"/>
        <v>6.0986953341307659E-2</v>
      </c>
      <c r="AL49" s="65">
        <f t="shared" si="47"/>
        <v>6.1474758365878124E-2</v>
      </c>
      <c r="AM49" s="65">
        <f t="shared" si="46"/>
        <v>6.1962562026772972E-2</v>
      </c>
      <c r="AN49" s="41"/>
      <c r="AO49" s="65">
        <f>(1-BL49)/SUM($BL49:BL49)</f>
        <v>5.2694058352319204E-2</v>
      </c>
      <c r="AP49" s="65">
        <f>(1-BM49)/SUM($BL49:BM49)</f>
        <v>5.3169248037191336E-2</v>
      </c>
      <c r="AQ49" s="65">
        <f>(1-BN49)/SUM($BL49:BN49)</f>
        <v>5.3635718853535276E-2</v>
      </c>
      <c r="AR49" s="65">
        <f>(1-BO49)/SUM($BL49:BO49)</f>
        <v>5.4093263201583544E-2</v>
      </c>
      <c r="AS49" s="65">
        <f>(1-BP49)/SUM($BL49:BP49)</f>
        <v>5.454168332348696E-2</v>
      </c>
      <c r="AT49" s="65">
        <f>(1-BQ49)/SUM($BL49:BQ49)</f>
        <v>5.4980792046984216E-2</v>
      </c>
      <c r="AU49" s="65">
        <f>(1-BR49)/SUM($BL49:BR49)</f>
        <v>5.5410413519430476E-2</v>
      </c>
      <c r="AV49" s="65">
        <f>(1-BS49)/SUM($BL49:BS49)</f>
        <v>5.583038392634497E-2</v>
      </c>
      <c r="AW49" s="65">
        <f>(1-BT49)/SUM($BL49:BT49)</f>
        <v>5.6240552188414082E-2</v>
      </c>
      <c r="AX49" s="65">
        <f>(1-BU49)/SUM($BL49:BU49)</f>
        <v>5.6640780630679406E-2</v>
      </c>
      <c r="AY49" s="65">
        <f>(1-BV49)/SUM($BL49:BV49)</f>
        <v>5.7030945617592005E-2</v>
      </c>
      <c r="AZ49" s="65">
        <f>(1-BW49)/SUM($BL49:BW49)</f>
        <v>5.7410938147533834E-2</v>
      </c>
      <c r="BA49" s="65">
        <f>(1-BX49)/SUM($BL49:BX49)</f>
        <v>5.7780664400497728E-2</v>
      </c>
      <c r="BB49" s="65">
        <f>(1-BY49)/SUM($BL49:BY49)</f>
        <v>5.8140046232741834E-2</v>
      </c>
      <c r="BC49" s="65">
        <f>(1-BZ49)/SUM($BL49:BZ49)</f>
        <v>5.8489021612464935E-2</v>
      </c>
      <c r="BD49" s="65">
        <f>(1-CA49)/SUM($BL49:CA49)</f>
        <v>5.8827544990879568E-2</v>
      </c>
      <c r="BE49" s="65">
        <f>(1-CB49)/SUM($BL49:CB49)</f>
        <v>5.9155587603462963E-2</v>
      </c>
      <c r="BF49" s="65">
        <f>(1-CC49)/SUM($BL49:CC49)</f>
        <v>5.9473137696681257E-2</v>
      </c>
      <c r="BG49" s="65">
        <f>(1-CD49)/SUM($BL49:CD49)</f>
        <v>5.9780200676061677E-2</v>
      </c>
      <c r="BH49" s="65">
        <f>(1-CE49)/SUM($BL49:CE49)</f>
        <v>6.0076799172168766E-2</v>
      </c>
      <c r="BI49" s="14"/>
      <c r="BJ49" s="67"/>
      <c r="BK49" s="47"/>
      <c r="BL49" s="6">
        <f t="shared" si="54"/>
        <v>0.94994361568374752</v>
      </c>
      <c r="BM49" s="5">
        <f t="shared" si="55"/>
        <v>0.90155709924681959</v>
      </c>
      <c r="BN49" s="5">
        <f t="shared" si="56"/>
        <v>0.85484329363559564</v>
      </c>
      <c r="BO49" s="5">
        <f t="shared" si="57"/>
        <v>0.8098002814646198</v>
      </c>
      <c r="BP49" s="5">
        <f t="shared" si="58"/>
        <v>0.76642164496168785</v>
      </c>
      <c r="BQ49" s="5">
        <f t="shared" si="59"/>
        <v>0.72469673255115641</v>
      </c>
      <c r="BR49" s="5">
        <f t="shared" si="60"/>
        <v>0.6846109302461405</v>
      </c>
      <c r="BS49" s="5">
        <f t="shared" si="61"/>
        <v>0.64614593609077531</v>
      </c>
      <c r="BT49" s="5">
        <f t="shared" si="62"/>
        <v>0.60928003597309954</v>
      </c>
      <c r="BU49" s="5">
        <f t="shared" si="63"/>
        <v>0.573988379216543</v>
      </c>
      <c r="BV49" s="5">
        <f t="shared" si="64"/>
        <v>0.54024325245149585</v>
      </c>
      <c r="BW49" s="5">
        <f t="shared" si="65"/>
        <v>0.50801435036798848</v>
      </c>
      <c r="BX49" s="5">
        <f t="shared" si="66"/>
        <v>0.47726904205382581</v>
      </c>
      <c r="BY49" s="5">
        <f t="shared" si="67"/>
        <v>0.4479726317293351</v>
      </c>
      <c r="BZ49" s="5">
        <f t="shared" si="68"/>
        <v>0.4200886127987305</v>
      </c>
      <c r="CA49" s="5">
        <f t="shared" si="69"/>
        <v>0.39357891424794683</v>
      </c>
      <c r="CB49" s="5">
        <f t="shared" si="70"/>
        <v>0.36840413852894</v>
      </c>
      <c r="CC49" s="5">
        <f t="shared" si="71"/>
        <v>0.34452379017961104</v>
      </c>
      <c r="CD49" s="5">
        <f t="shared" si="72"/>
        <v>0.3218964945362614</v>
      </c>
      <c r="CE49" s="5">
        <f t="shared" si="73"/>
        <v>0.30048020600063557</v>
      </c>
    </row>
    <row r="50" spans="1:83" ht="14.25" customHeight="1">
      <c r="A50" s="24"/>
      <c r="B50" s="3" t="str">
        <f>INDEX(Équivalences!$C$2:$D$397,MATCH("Notes",Équivalences!$C$2:$C$397,0), langue)</f>
        <v>Notes</v>
      </c>
      <c r="D50" s="6"/>
      <c r="E50" s="6"/>
      <c r="F50" s="6"/>
      <c r="H50" s="5"/>
      <c r="I50" s="6"/>
      <c r="J50" s="6"/>
      <c r="K50" s="14"/>
      <c r="M50" s="24"/>
      <c r="N50" s="42">
        <f t="shared" si="78"/>
        <v>40</v>
      </c>
      <c r="O50" s="50">
        <f t="shared" si="77"/>
        <v>0.02</v>
      </c>
      <c r="P50" s="51">
        <f t="shared" si="23"/>
        <v>26.874699127782741</v>
      </c>
      <c r="Q50" s="52">
        <f t="shared" si="51"/>
        <v>1.9969228259432592E-2</v>
      </c>
      <c r="R50" s="64">
        <f t="shared" si="52"/>
        <v>3.3663201235425454E-2</v>
      </c>
      <c r="S50" s="41"/>
      <c r="T50" s="65">
        <f t="shared" si="0"/>
        <v>5.3669941124473652E-2</v>
      </c>
      <c r="U50" s="65">
        <f t="shared" si="4"/>
        <v>5.4157880387159407E-2</v>
      </c>
      <c r="V50" s="65">
        <f t="shared" si="5"/>
        <v>5.4645818235582899E-2</v>
      </c>
      <c r="W50" s="65">
        <f t="shared" si="6"/>
        <v>5.5133754670737334E-2</v>
      </c>
      <c r="X50" s="65">
        <f t="shared" si="7"/>
        <v>5.5621689693616583E-2</v>
      </c>
      <c r="Y50" s="65">
        <f t="shared" si="8"/>
        <v>5.6109623305214962E-2</v>
      </c>
      <c r="Z50" s="65">
        <f t="shared" si="9"/>
        <v>5.6597555506522346E-2</v>
      </c>
      <c r="AA50" s="65">
        <f t="shared" si="10"/>
        <v>5.708548629853305E-2</v>
      </c>
      <c r="AB50" s="65">
        <f t="shared" si="11"/>
        <v>5.7573415682235174E-2</v>
      </c>
      <c r="AC50" s="65">
        <f t="shared" si="12"/>
        <v>5.8061343658617703E-2</v>
      </c>
      <c r="AD50" s="65">
        <f t="shared" si="13"/>
        <v>5.8549270228668071E-2</v>
      </c>
      <c r="AE50" s="65">
        <f t="shared" si="76"/>
        <v>5.9037195393371711E-2</v>
      </c>
      <c r="AF50" s="65">
        <f t="shared" si="75"/>
        <v>5.9525119153715167E-2</v>
      </c>
      <c r="AG50" s="65">
        <f t="shared" si="74"/>
        <v>6.0013041510681875E-2</v>
      </c>
      <c r="AH50" s="65">
        <f t="shared" si="53"/>
        <v>6.0500962465255714E-2</v>
      </c>
      <c r="AI50" s="65">
        <f t="shared" si="50"/>
        <v>6.0988882018418122E-2</v>
      </c>
      <c r="AJ50" s="65">
        <f t="shared" si="49"/>
        <v>6.1476800171149426E-2</v>
      </c>
      <c r="AK50" s="65">
        <f t="shared" si="48"/>
        <v>6.196471692443084E-2</v>
      </c>
      <c r="AL50" s="65">
        <f t="shared" si="47"/>
        <v>6.2452632279240472E-2</v>
      </c>
      <c r="AM50" s="65">
        <f t="shared" si="46"/>
        <v>6.2940546236556205E-2</v>
      </c>
      <c r="AN50" s="6"/>
      <c r="AO50" s="65">
        <f>(1-BL50)/SUM($BL50:BL50)</f>
        <v>5.3669941124473604E-2</v>
      </c>
      <c r="AP50" s="65">
        <f>(1-BM50)/SUM($BL50:BM50)</f>
        <v>5.4145012967164848E-2</v>
      </c>
      <c r="AQ50" s="65">
        <f>(1-BN50)/SUM($BL50:BN50)</f>
        <v>5.4611214009904492E-2</v>
      </c>
      <c r="AR50" s="65">
        <f>(1-BO50)/SUM($BL50:BO50)</f>
        <v>5.5068337524705434E-2</v>
      </c>
      <c r="AS50" s="65">
        <f>(1-BP50)/SUM($BL50:BP50)</f>
        <v>5.551618698296288E-2</v>
      </c>
      <c r="AT50" s="65">
        <f>(1-BQ50)/SUM($BL50:BQ50)</f>
        <v>5.5954576815528012E-2</v>
      </c>
      <c r="AU50" s="65">
        <f>(1-BR50)/SUM($BL50:BR50)</f>
        <v>5.6383333161096796E-2</v>
      </c>
      <c r="AV50" s="65">
        <f>(1-BS50)/SUM($BL50:BS50)</f>
        <v>5.6802294596802805E-2</v>
      </c>
      <c r="AW50" s="65">
        <f>(1-BT50)/SUM($BL50:BT50)</f>
        <v>5.7211312844637124E-2</v>
      </c>
      <c r="AX50" s="65">
        <f>(1-BU50)/SUM($BL50:BU50)</f>
        <v>5.7610253447223515E-2</v>
      </c>
      <c r="AY50" s="65">
        <f>(1-BV50)/SUM($BL50:BV50)</f>
        <v>5.7998996406341347E-2</v>
      </c>
      <c r="AZ50" s="65">
        <f>(1-BW50)/SUM($BL50:BW50)</f>
        <v>5.8377436777622076E-2</v>
      </c>
      <c r="BA50" s="65">
        <f>(1-BX50)/SUM($BL50:BX50)</f>
        <v>5.8745485214919492E-2</v>
      </c>
      <c r="BB50" s="65">
        <f>(1-BY50)/SUM($BL50:BY50)</f>
        <v>5.9103068458028853E-2</v>
      </c>
      <c r="BC50" s="65">
        <f>(1-BZ50)/SUM($BL50:BZ50)</f>
        <v>5.9450129757715311E-2</v>
      </c>
      <c r="BD50" s="65">
        <f>(1-CA50)/SUM($BL50:CA50)</f>
        <v>5.978662923236442E-2</v>
      </c>
      <c r="BE50" s="65">
        <f>(1-CB50)/SUM($BL50:CB50)</f>
        <v>6.0112544151047151E-2</v>
      </c>
      <c r="BF50" s="65">
        <f>(1-CC50)/SUM($BL50:CC50)</f>
        <v>6.0427869138339661E-2</v>
      </c>
      <c r="BG50" s="65">
        <f>(1-CD50)/SUM($BL50:CD50)</f>
        <v>6.0732616296882716E-2</v>
      </c>
      <c r="BH50" s="65">
        <f>(1-CE50)/SUM($BL50:CE50)</f>
        <v>6.1026815244406132E-2</v>
      </c>
      <c r="BI50" s="14"/>
      <c r="BJ50" s="67"/>
      <c r="BK50" s="6"/>
      <c r="BL50" s="6">
        <f t="shared" si="54"/>
        <v>0.94906380164247905</v>
      </c>
      <c r="BM50" s="5">
        <f t="shared" si="55"/>
        <v>0.89988845603251855</v>
      </c>
      <c r="BN50" s="5">
        <f t="shared" si="56"/>
        <v>0.85247194474984156</v>
      </c>
      <c r="BO50" s="5">
        <f t="shared" si="57"/>
        <v>0.80680751184377975</v>
      </c>
      <c r="BP50" s="5">
        <f t="shared" si="58"/>
        <v>0.76288394446394248</v>
      </c>
      <c r="BQ50" s="5">
        <f t="shared" si="59"/>
        <v>0.72068585855316647</v>
      </c>
      <c r="BR50" s="5">
        <f t="shared" si="60"/>
        <v>0.68019398775125628</v>
      </c>
      <c r="BS50" s="5">
        <f t="shared" si="61"/>
        <v>0.6413854737415694</v>
      </c>
      <c r="BT50" s="5">
        <f t="shared" si="62"/>
        <v>0.60423415636453226</v>
      </c>
      <c r="BU50" s="5">
        <f t="shared" si="63"/>
        <v>0.56871086192062159</v>
      </c>
      <c r="BV50" s="5">
        <f t="shared" si="64"/>
        <v>0.53478368819009503</v>
      </c>
      <c r="BW50" s="5">
        <f t="shared" si="65"/>
        <v>0.50241828480556583</v>
      </c>
      <c r="BX50" s="5">
        <f t="shared" si="66"/>
        <v>0.47157812772592211</v>
      </c>
      <c r="BY50" s="5">
        <f t="shared" si="67"/>
        <v>0.44222478667469178</v>
      </c>
      <c r="BZ50" s="5">
        <f t="shared" si="68"/>
        <v>0.41431818452157149</v>
      </c>
      <c r="CA50" s="5">
        <f t="shared" si="69"/>
        <v>0.38781684770181885</v>
      </c>
      <c r="CB50" s="5">
        <f t="shared" si="70"/>
        <v>0.36267814688309824</v>
      </c>
      <c r="CC50" s="5">
        <f t="shared" si="71"/>
        <v>0.33885852720276172</v>
      </c>
      <c r="CD50" s="5">
        <f t="shared" si="72"/>
        <v>0.31631372750935055</v>
      </c>
      <c r="CE50" s="5">
        <f t="shared" si="73"/>
        <v>0.29499898814948927</v>
      </c>
    </row>
    <row r="51" spans="1:83" ht="14.25" customHeight="1">
      <c r="A51" s="24"/>
      <c r="B51" s="6"/>
      <c r="D51" s="166"/>
      <c r="E51" s="13"/>
      <c r="F51" s="13"/>
      <c r="G51" s="13"/>
      <c r="H51" s="13"/>
      <c r="I51" s="13"/>
      <c r="J51" s="6"/>
      <c r="K51" s="14"/>
      <c r="M51" s="24"/>
      <c r="N51" s="42">
        <f t="shared" si="78"/>
        <v>41</v>
      </c>
      <c r="O51" s="50">
        <f t="shared" si="77"/>
        <v>0.02</v>
      </c>
      <c r="P51" s="51">
        <f t="shared" si="23"/>
        <v>27.328136399787002</v>
      </c>
      <c r="Q51" s="52">
        <f t="shared" si="51"/>
        <v>1.996997877864537E-2</v>
      </c>
      <c r="R51" s="64">
        <f t="shared" si="52"/>
        <v>3.4146621204539818E-2</v>
      </c>
      <c r="T51" s="65">
        <f t="shared" si="0"/>
        <v>5.4646045607438243E-2</v>
      </c>
      <c r="U51" s="65">
        <f t="shared" si="4"/>
        <v>5.5134095674244765E-2</v>
      </c>
      <c r="V51" s="65">
        <f t="shared" si="5"/>
        <v>5.5622144292624576E-2</v>
      </c>
      <c r="W51" s="65">
        <f t="shared" si="6"/>
        <v>5.6110191463597081E-2</v>
      </c>
      <c r="X51" s="65">
        <f t="shared" si="7"/>
        <v>5.6598237188181688E-2</v>
      </c>
      <c r="Y51" s="65">
        <f t="shared" si="8"/>
        <v>5.7086281467392919E-2</v>
      </c>
      <c r="Z51" s="65">
        <f t="shared" si="9"/>
        <v>5.7574324302250179E-2</v>
      </c>
      <c r="AA51" s="65">
        <f t="shared" si="10"/>
        <v>5.8062365693765994E-2</v>
      </c>
      <c r="AB51" s="65">
        <f t="shared" si="11"/>
        <v>5.8550405642953773E-2</v>
      </c>
      <c r="AC51" s="65">
        <f t="shared" si="12"/>
        <v>5.9038444150826042E-2</v>
      </c>
      <c r="AD51" s="65">
        <f t="shared" si="13"/>
        <v>5.9526481218392657E-2</v>
      </c>
      <c r="AE51" s="65">
        <f t="shared" si="76"/>
        <v>6.0014516846664367E-2</v>
      </c>
      <c r="AF51" s="65">
        <f t="shared" si="75"/>
        <v>6.0502551036649477E-2</v>
      </c>
      <c r="AG51" s="65">
        <f t="shared" si="74"/>
        <v>6.0990583789356734E-2</v>
      </c>
      <c r="AH51" s="65">
        <f t="shared" si="53"/>
        <v>6.1478615105791334E-2</v>
      </c>
      <c r="AI51" s="65">
        <f t="shared" si="50"/>
        <v>6.1966644986958475E-2</v>
      </c>
      <c r="AJ51" s="65">
        <f t="shared" si="49"/>
        <v>6.2454673433864016E-2</v>
      </c>
      <c r="AK51" s="65">
        <f t="shared" si="48"/>
        <v>6.2942700447510047E-2</v>
      </c>
      <c r="AL51" s="65">
        <f t="shared" si="47"/>
        <v>6.3430726028899098E-2</v>
      </c>
      <c r="AM51" s="65">
        <f t="shared" si="46"/>
        <v>6.3918750179031703E-2</v>
      </c>
      <c r="AN51" s="6"/>
      <c r="AO51" s="65">
        <f>(1-BL51)/SUM($BL51:BL51)</f>
        <v>5.4646045607438277E-2</v>
      </c>
      <c r="AP51" s="65">
        <f>(1-BM51)/SUM($BL51:BM51)</f>
        <v>5.5120999566934392E-2</v>
      </c>
      <c r="AQ51" s="65">
        <f>(1-BN51)/SUM($BL51:BN51)</f>
        <v>5.5586930852348969E-2</v>
      </c>
      <c r="AR51" s="65">
        <f>(1-BO51)/SUM($BL51:BO51)</f>
        <v>5.6043633629975609E-2</v>
      </c>
      <c r="AS51" s="65">
        <f>(1-BP51)/SUM($BL51:BP51)</f>
        <v>5.6490912632202385E-2</v>
      </c>
      <c r="AT51" s="65">
        <f>(1-BQ51)/SUM($BL51:BQ51)</f>
        <v>5.6928583933995587E-2</v>
      </c>
      <c r="AU51" s="65">
        <f>(1-BR51)/SUM($BL51:BR51)</f>
        <v>5.7356475715549443E-2</v>
      </c>
      <c r="AV51" s="65">
        <f>(1-BS51)/SUM($BL51:BS51)</f>
        <v>5.7774429004651261E-2</v>
      </c>
      <c r="AW51" s="65">
        <f>(1-BT51)/SUM($BL51:BT51)</f>
        <v>5.8182298392171011E-2</v>
      </c>
      <c r="AX51" s="65">
        <f>(1-BU51)/SUM($BL51:BU51)</f>
        <v>5.8579952713886128E-2</v>
      </c>
      <c r="AY51" s="65">
        <f>(1-BV51)/SUM($BL51:BV51)</f>
        <v>5.8967275691828365E-2</v>
      </c>
      <c r="AZ51" s="65">
        <f>(1-BW51)/SUM($BL51:BW51)</f>
        <v>5.9344166528363794E-2</v>
      </c>
      <c r="BA51" s="65">
        <f>(1-BX51)/SUM($BL51:BX51)</f>
        <v>5.9710540446325434E-2</v>
      </c>
      <c r="BB51" s="65">
        <f>(1-BY51)/SUM($BL51:BY51)</f>
        <v>6.0066329168756268E-2</v>
      </c>
      <c r="BC51" s="65">
        <f>(1-BZ51)/SUM($BL51:BZ51)</f>
        <v>6.0411481332117746E-2</v>
      </c>
      <c r="BD51" s="65">
        <f>(1-CA51)/SUM($BL51:CA51)</f>
        <v>6.0745962827258831E-2</v>
      </c>
      <c r="BE51" s="65">
        <f>(1-CB51)/SUM($BL51:CB51)</f>
        <v>6.106975706293799E-2</v>
      </c>
      <c r="BF51" s="65">
        <f>(1-CC51)/SUM($BL51:CC51)</f>
        <v>6.1382865147313455E-2</v>
      </c>
      <c r="BG51" s="65">
        <f>(1-CD51)/SUM($BL51:CD51)</f>
        <v>6.16853059835267E-2</v>
      </c>
      <c r="BH51" s="65">
        <f>(1-CE51)/SUM($BL51:CE51)</f>
        <v>6.197711627627412E-2</v>
      </c>
      <c r="BI51" s="14"/>
      <c r="BJ51" s="67"/>
      <c r="BK51" s="6"/>
      <c r="BL51" s="6">
        <f t="shared" si="54"/>
        <v>0.94818541648637755</v>
      </c>
      <c r="BM51" s="5">
        <f t="shared" si="55"/>
        <v>0.89822406383483111</v>
      </c>
      <c r="BN51" s="5">
        <f t="shared" si="56"/>
        <v>0.85010882350321826</v>
      </c>
      <c r="BO51" s="5">
        <f t="shared" si="57"/>
        <v>0.8038278808481284</v>
      </c>
      <c r="BP51" s="5">
        <f t="shared" si="58"/>
        <v>0.75936502615095602</v>
      </c>
      <c r="BQ51" s="5">
        <f t="shared" si="59"/>
        <v>0.71669995902708705</v>
      </c>
      <c r="BR51" s="5">
        <f t="shared" si="60"/>
        <v>0.67580859435537166</v>
      </c>
      <c r="BS51" s="5">
        <f t="shared" si="61"/>
        <v>0.63666336796201206</v>
      </c>
      <c r="BT51" s="5">
        <f t="shared" si="62"/>
        <v>0.59923354039675059</v>
      </c>
      <c r="BU51" s="5">
        <f t="shared" si="63"/>
        <v>0.56348549724958596</v>
      </c>
      <c r="BV51" s="5">
        <f t="shared" si="64"/>
        <v>0.52938304457093865</v>
      </c>
      <c r="BW51" s="5">
        <f t="shared" si="65"/>
        <v>0.49688769807656125</v>
      </c>
      <c r="BX51" s="5">
        <f t="shared" si="66"/>
        <v>0.46595896493930539</v>
      </c>
      <c r="BY51" s="5">
        <f t="shared" si="67"/>
        <v>0.43655461709164189</v>
      </c>
      <c r="BZ51" s="5">
        <f t="shared" si="68"/>
        <v>0.40863095508505465</v>
      </c>
      <c r="CA51" s="5">
        <f t="shared" si="69"/>
        <v>0.38214306167344758</v>
      </c>
      <c r="CB51" s="5">
        <f t="shared" si="70"/>
        <v>0.35704504440725965</v>
      </c>
      <c r="CC51" s="5">
        <f t="shared" si="71"/>
        <v>0.33329026664164035</v>
      </c>
      <c r="CD51" s="5">
        <f t="shared" si="72"/>
        <v>0.3108315664752524</v>
      </c>
      <c r="CE51" s="5">
        <f t="shared" si="73"/>
        <v>0.2896214632455873</v>
      </c>
    </row>
    <row r="52" spans="1:83" ht="14.25" customHeight="1">
      <c r="A52" s="24"/>
      <c r="B52" s="6" t="str">
        <f>INDEX(Équivalences!$C$2:$D$397,MATCH("1. Spot rate begins to grade to Median URR = ",Équivalences!$C$2:$C$397,0), langue)</f>
        <v xml:space="preserve">1. Le taux immédiat commence à converger vers le TRU médian = </v>
      </c>
      <c r="D52" s="82"/>
      <c r="E52" s="6"/>
      <c r="F52" s="83"/>
      <c r="J52" s="186">
        <f>'Input - Entrée de données'!D21</f>
        <v>5.2999999999999999E-2</v>
      </c>
      <c r="K52" s="14"/>
      <c r="M52" s="24"/>
      <c r="N52" s="42">
        <f t="shared" si="78"/>
        <v>42</v>
      </c>
      <c r="O52" s="50">
        <f t="shared" si="77"/>
        <v>0.02</v>
      </c>
      <c r="P52" s="51">
        <f t="shared" si="23"/>
        <v>27.772682744889217</v>
      </c>
      <c r="Q52" s="52">
        <f t="shared" si="51"/>
        <v>1.9970693559361319E-2</v>
      </c>
      <c r="R52" s="64">
        <f t="shared" si="52"/>
        <v>3.4630041173654182E-2</v>
      </c>
      <c r="S52" s="41"/>
      <c r="T52" s="65">
        <f t="shared" si="0"/>
        <v>5.5622371592054742E-2</v>
      </c>
      <c r="U52" s="65">
        <f t="shared" si="4"/>
        <v>5.6110532358478071E-2</v>
      </c>
      <c r="V52" s="65">
        <f t="shared" si="5"/>
        <v>5.6598691642371302E-2</v>
      </c>
      <c r="W52" s="65">
        <f t="shared" si="6"/>
        <v>5.7086849444778265E-2</v>
      </c>
      <c r="X52" s="65">
        <f t="shared" si="7"/>
        <v>5.7575005766737686E-2</v>
      </c>
      <c r="Y52" s="65">
        <f t="shared" si="8"/>
        <v>5.8063160609294728E-2</v>
      </c>
      <c r="Z52" s="65">
        <f t="shared" si="9"/>
        <v>5.8551313973485675E-2</v>
      </c>
      <c r="AA52" s="65">
        <f t="shared" si="10"/>
        <v>5.9039465860349249E-2</v>
      </c>
      <c r="AB52" s="65">
        <f t="shared" si="11"/>
        <v>5.9527616270921957E-2</v>
      </c>
      <c r="AC52" s="65">
        <f t="shared" si="12"/>
        <v>6.0015765206238303E-2</v>
      </c>
      <c r="AD52" s="65">
        <f t="shared" si="13"/>
        <v>6.0503912667334125E-2</v>
      </c>
      <c r="AE52" s="65">
        <f t="shared" si="76"/>
        <v>6.0992058655241932E-2</v>
      </c>
      <c r="AF52" s="65">
        <f t="shared" si="75"/>
        <v>6.1480203170994896E-2</v>
      </c>
      <c r="AG52" s="65">
        <f t="shared" si="74"/>
        <v>6.196834621562286E-2</v>
      </c>
      <c r="AH52" s="65">
        <f t="shared" si="53"/>
        <v>6.2456487790155446E-2</v>
      </c>
      <c r="AI52" s="65">
        <f t="shared" si="50"/>
        <v>6.294462789562294E-2</v>
      </c>
      <c r="AJ52" s="65">
        <f t="shared" si="49"/>
        <v>6.3432766533052076E-2</v>
      </c>
      <c r="AK52" s="65">
        <f t="shared" si="48"/>
        <v>6.3920903703469145E-2</v>
      </c>
      <c r="AL52" s="65">
        <f t="shared" si="47"/>
        <v>6.4409039407899771E-2</v>
      </c>
      <c r="AM52" s="65">
        <f t="shared" si="46"/>
        <v>6.4897173647368023E-2</v>
      </c>
      <c r="AN52" s="6"/>
      <c r="AO52" s="65">
        <f>(1-BL52)/SUM($BL52:BL52)</f>
        <v>5.5622371592054728E-2</v>
      </c>
      <c r="AP52" s="65">
        <f>(1-BM52)/SUM($BL52:BM52)</f>
        <v>5.6097207627597102E-2</v>
      </c>
      <c r="AQ52" s="65">
        <f>(1-BN52)/SUM($BL52:BN52)</f>
        <v>5.6562869172557796E-2</v>
      </c>
      <c r="AR52" s="65">
        <f>(1-BO52)/SUM($BL52:BO52)</f>
        <v>5.7019151310345607E-2</v>
      </c>
      <c r="AS52" s="65">
        <f>(1-BP52)/SUM($BL52:BP52)</f>
        <v>5.7465860066547206E-2</v>
      </c>
      <c r="AT52" s="65">
        <f>(1-BQ52)/SUM($BL52:BQ52)</f>
        <v>5.7902813201831251E-2</v>
      </c>
      <c r="AU52" s="65">
        <f>(1-BR52)/SUM($BL52:BR52)</f>
        <v>5.8329840988689353E-2</v>
      </c>
      <c r="AV52" s="65">
        <f>(1-BS52)/SUM($BL52:BS52)</f>
        <v>5.8746786965344661E-2</v>
      </c>
      <c r="AW52" s="65">
        <f>(1-BT52)/SUM($BL52:BT52)</f>
        <v>5.9153508659879707E-2</v>
      </c>
      <c r="AX52" s="65">
        <f>(1-BU52)/SUM($BL52:BU52)</f>
        <v>5.9549878277575762E-2</v>
      </c>
      <c r="AY52" s="65">
        <f>(1-BV52)/SUM($BL52:BV52)</f>
        <v>5.9935783344399141E-2</v>
      </c>
      <c r="AZ52" s="65">
        <f>(1-BW52)/SUM($BL52:BW52)</f>
        <v>6.0311127299630826E-2</v>
      </c>
      <c r="BA52" s="65">
        <f>(1-BX52)/SUM($BL52:BX52)</f>
        <v>6.0675830030810791E-2</v>
      </c>
      <c r="BB52" s="65">
        <f>(1-BY52)/SUM($BL52:BY52)</f>
        <v>6.1029828344408982E-2</v>
      </c>
      <c r="BC52" s="65">
        <f>(1-BZ52)/SUM($BL52:BZ52)</f>
        <v>6.13730763660226E-2</v>
      </c>
      <c r="BD52" s="65">
        <f>(1-CA52)/SUM($BL52:CA52)</f>
        <v>6.1705545864353506E-2</v>
      </c>
      <c r="BE52" s="65">
        <f>(1-CB52)/SUM($BL52:CB52)</f>
        <v>6.2027226493798118E-2</v>
      </c>
      <c r="BF52" s="65">
        <f>(1-CC52)/SUM($BL52:CC52)</f>
        <v>6.2338125951162872E-2</v>
      </c>
      <c r="BG52" s="65">
        <f>(1-CD52)/SUM($BL52:CD52)</f>
        <v>6.2638270042767216E-2</v>
      </c>
      <c r="BH52" s="65">
        <f>(1-CE52)/SUM($BL52:CE52)</f>
        <v>6.2927702659049761E-2</v>
      </c>
      <c r="BI52" s="14"/>
      <c r="BJ52" s="67"/>
      <c r="BK52" s="6"/>
      <c r="BL52" s="6">
        <f t="shared" si="54"/>
        <v>0.94730845699284782</v>
      </c>
      <c r="BM52" s="5">
        <f t="shared" si="55"/>
        <v>0.89656390904366123</v>
      </c>
      <c r="BN52" s="5">
        <f t="shared" si="56"/>
        <v>0.84775389588548544</v>
      </c>
      <c r="BO52" s="5">
        <f t="shared" si="57"/>
        <v>0.80086132200269478</v>
      </c>
      <c r="BP52" s="5">
        <f t="shared" si="58"/>
        <v>0.75586477767493088</v>
      </c>
      <c r="BQ52" s="5">
        <f t="shared" si="59"/>
        <v>0.71273886162441424</v>
      </c>
      <c r="BR52" s="5">
        <f t="shared" si="60"/>
        <v>0.67145450340425039</v>
      </c>
      <c r="BS52" s="5">
        <f t="shared" si="61"/>
        <v>0.63197928377477774</v>
      </c>
      <c r="BT52" s="5">
        <f t="shared" si="62"/>
        <v>0.59427775143141726</v>
      </c>
      <c r="BU52" s="5">
        <f t="shared" si="63"/>
        <v>0.5583117345683678</v>
      </c>
      <c r="BV52" s="5">
        <f t="shared" si="64"/>
        <v>0.52404064588742882</v>
      </c>
      <c r="BW52" s="5">
        <f t="shared" si="65"/>
        <v>0.49142177978857338</v>
      </c>
      <c r="BX52" s="5">
        <f t="shared" si="66"/>
        <v>0.46041060060736982</v>
      </c>
      <c r="BY52" s="5">
        <f t="shared" si="67"/>
        <v>0.43096102089324334</v>
      </c>
      <c r="BZ52" s="5">
        <f t="shared" si="68"/>
        <v>0.40302566885022051</v>
      </c>
      <c r="CA52" s="5">
        <f t="shared" si="69"/>
        <v>0.376556144187849</v>
      </c>
      <c r="CB52" s="5">
        <f t="shared" si="70"/>
        <v>0.35150326175305396</v>
      </c>
      <c r="CC52" s="5">
        <f t="shared" si="71"/>
        <v>0.32781728243309055</v>
      </c>
      <c r="CD52" s="5">
        <f t="shared" si="72"/>
        <v>0.30544813093499867</v>
      </c>
      <c r="CE52" s="5">
        <f t="shared" si="73"/>
        <v>0.28434560015702887</v>
      </c>
    </row>
    <row r="53" spans="1:83" ht="14.25" customHeight="1">
      <c r="A53" s="24"/>
      <c r="B53" s="6" t="str">
        <f>INDEX(Équivalences!$C$2:$D$397,MATCH("2. For each term, the time-0 forward spot equals the observed spot for that term.",Équivalences!$C$2:$C$397,0), langue)</f>
        <v>2. Pour chaque terme, le taux immédiat à terme de la période 0 correspond au taux immédiat observé.</v>
      </c>
      <c r="D53" s="6"/>
      <c r="E53" s="6"/>
      <c r="F53" s="6"/>
      <c r="G53" s="6"/>
      <c r="H53" s="6"/>
      <c r="I53" s="6"/>
      <c r="J53" s="6"/>
      <c r="K53" s="14"/>
      <c r="M53" s="24"/>
      <c r="N53" s="42">
        <f t="shared" si="78"/>
        <v>43</v>
      </c>
      <c r="O53" s="50">
        <f t="shared" si="77"/>
        <v>0.02</v>
      </c>
      <c r="P53" s="51">
        <f t="shared" si="23"/>
        <v>28.208512494989424</v>
      </c>
      <c r="Q53" s="52">
        <f t="shared" si="51"/>
        <v>1.9971375094928856E-2</v>
      </c>
      <c r="R53" s="64">
        <f t="shared" si="52"/>
        <v>3.5113461142768546E-2</v>
      </c>
      <c r="S53" s="41"/>
      <c r="T53" s="65">
        <f t="shared" si="0"/>
        <v>5.6598918869391168E-2</v>
      </c>
      <c r="U53" s="65">
        <f t="shared" si="4"/>
        <v>5.7087190231057905E-2</v>
      </c>
      <c r="V53" s="65">
        <f t="shared" si="5"/>
        <v>5.7575460076148666E-2</v>
      </c>
      <c r="W53" s="65">
        <f t="shared" si="6"/>
        <v>5.8063728405725934E-2</v>
      </c>
      <c r="X53" s="65">
        <f t="shared" si="7"/>
        <v>5.8551995220860853E-2</v>
      </c>
      <c r="Y53" s="65">
        <f t="shared" si="8"/>
        <v>5.9040260522613908E-2</v>
      </c>
      <c r="Z53" s="65">
        <f t="shared" si="9"/>
        <v>5.9528524312048026E-2</v>
      </c>
      <c r="AA53" s="65">
        <f t="shared" si="10"/>
        <v>6.0016786590224802E-2</v>
      </c>
      <c r="AB53" s="65">
        <f t="shared" si="11"/>
        <v>6.0505047358203168E-2</v>
      </c>
      <c r="AC53" s="65">
        <f t="shared" si="12"/>
        <v>6.0993306617043386E-2</v>
      </c>
      <c r="AD53" s="65">
        <f t="shared" si="13"/>
        <v>6.148156436780261E-2</v>
      </c>
      <c r="AE53" s="65">
        <f t="shared" si="76"/>
        <v>6.1969820611538884E-2</v>
      </c>
      <c r="AF53" s="65">
        <f t="shared" si="75"/>
        <v>6.245807534930603E-2</v>
      </c>
      <c r="AG53" s="65">
        <f t="shared" si="74"/>
        <v>6.2946328582158539E-2</v>
      </c>
      <c r="AH53" s="65">
        <f t="shared" si="53"/>
        <v>6.3434580311150679E-2</v>
      </c>
      <c r="AI53" s="65">
        <f t="shared" si="50"/>
        <v>6.3922830537334052E-2</v>
      </c>
      <c r="AJ53" s="65">
        <f t="shared" si="49"/>
        <v>6.4411079261759152E-2</v>
      </c>
      <c r="AK53" s="65">
        <f t="shared" si="48"/>
        <v>6.4899326485475806E-2</v>
      </c>
      <c r="AL53" s="65">
        <f t="shared" si="47"/>
        <v>6.5387572209532507E-2</v>
      </c>
      <c r="AM53" s="65">
        <f t="shared" si="46"/>
        <v>6.5875816434976198E-2</v>
      </c>
      <c r="AN53" s="6"/>
      <c r="AO53" s="65">
        <f>(1-BL53)/SUM($BL53:BL53)</f>
        <v>5.659891886939121E-2</v>
      </c>
      <c r="AP53" s="65">
        <f>(1-BM53)/SUM($BL53:BM53)</f>
        <v>5.7073636940492008E-2</v>
      </c>
      <c r="AQ53" s="65">
        <f>(1-BN53)/SUM($BL53:BN53)</f>
        <v>5.753902876246355E-2</v>
      </c>
      <c r="AR53" s="65">
        <f>(1-BO53)/SUM($BL53:BO53)</f>
        <v>5.7994890359000614E-2</v>
      </c>
      <c r="AS53" s="65">
        <f>(1-BP53)/SUM($BL53:BP53)</f>
        <v>5.8441029081572962E-2</v>
      </c>
      <c r="AT53" s="65">
        <f>(1-BQ53)/SUM($BL53:BQ53)</f>
        <v>5.8877264418683864E-2</v>
      </c>
      <c r="AU53" s="65">
        <f>(1-BR53)/SUM($BL53:BR53)</f>
        <v>5.9303428786595475E-2</v>
      </c>
      <c r="AV53" s="65">
        <f>(1-BS53)/SUM($BL53:BS53)</f>
        <v>5.9719368294458335E-2</v>
      </c>
      <c r="AW53" s="65">
        <f>(1-BT53)/SUM($BL53:BT53)</f>
        <v>6.0124943476660045E-2</v>
      </c>
      <c r="AX53" s="65">
        <f>(1-BU53)/SUM($BL53:BU53)</f>
        <v>6.0520029985103703E-2</v>
      </c>
      <c r="AY53" s="65">
        <f>(1-BV53)/SUM($BL53:BV53)</f>
        <v>6.0904519234105503E-2</v>
      </c>
      <c r="AZ53" s="65">
        <f>(1-BW53)/SUM($BL53:BW53)</f>
        <v>6.1278318990724188E-2</v>
      </c>
      <c r="BA53" s="65">
        <f>(1-BX53)/SUM($BL53:BX53)</f>
        <v>6.1641353903508729E-2</v>
      </c>
      <c r="BB53" s="65">
        <f>(1-BY53)/SUM($BL53:BY53)</f>
        <v>6.1993565962984248E-2</v>
      </c>
      <c r="BC53" s="65">
        <f>(1-BZ53)/SUM($BL53:BZ53)</f>
        <v>6.2334914887590701E-2</v>
      </c>
      <c r="BD53" s="65">
        <f>(1-CA53)/SUM($BL53:CA53)</f>
        <v>6.2665378429329427E-2</v>
      </c>
      <c r="BE53" s="65">
        <f>(1-CB53)/SUM($BL53:CB53)</f>
        <v>6.2984952594005786E-2</v>
      </c>
      <c r="BF53" s="65">
        <f>(1-CC53)/SUM($BL53:CC53)</f>
        <v>6.3293651771679726E-2</v>
      </c>
      <c r="BG53" s="65">
        <f>(1-CD53)/SUM($BL53:CD53)</f>
        <v>6.3591508773768138E-2</v>
      </c>
      <c r="BH53" s="65">
        <f>(1-CE53)/SUM($BL53:CE53)</f>
        <v>6.3878574774147046E-2</v>
      </c>
      <c r="BI53" s="14"/>
      <c r="BJ53" s="67"/>
      <c r="BK53" s="6"/>
      <c r="BL53" s="6">
        <f t="shared" si="54"/>
        <v>0.94643291994851309</v>
      </c>
      <c r="BM53" s="5">
        <f t="shared" si="55"/>
        <v>0.89490797810104028</v>
      </c>
      <c r="BN53" s="5">
        <f t="shared" si="56"/>
        <v>0.84540712804883278</v>
      </c>
      <c r="BO53" s="5">
        <f t="shared" si="57"/>
        <v>0.7979077692121116</v>
      </c>
      <c r="BP53" s="5">
        <f t="shared" si="58"/>
        <v>0.7523830874337859</v>
      </c>
      <c r="BQ53" s="5">
        <f t="shared" si="59"/>
        <v>0.70880239529975952</v>
      </c>
      <c r="BR53" s="5">
        <f t="shared" si="60"/>
        <v>0.66713147033537978</v>
      </c>
      <c r="BS53" s="5">
        <f t="shared" si="61"/>
        <v>0.62733288935042641</v>
      </c>
      <c r="BT53" s="5">
        <f t="shared" si="62"/>
        <v>0.58936635733273413</v>
      </c>
      <c r="BU53" s="5">
        <f t="shared" si="63"/>
        <v>0.55318902942232018</v>
      </c>
      <c r="BV53" s="5">
        <f t="shared" si="64"/>
        <v>0.51875582463240288</v>
      </c>
      <c r="BW53" s="5">
        <f t="shared" si="65"/>
        <v>0.48601973011927413</v>
      </c>
      <c r="BX53" s="5">
        <f t="shared" si="66"/>
        <v>0.45493209493905945</v>
      </c>
      <c r="BY53" s="5">
        <f t="shared" si="67"/>
        <v>0.42544291236414372</v>
      </c>
      <c r="BZ53" s="5">
        <f t="shared" si="68"/>
        <v>0.39750108996513678</v>
      </c>
      <c r="CA53" s="5">
        <f t="shared" si="69"/>
        <v>0.37105470679410207</v>
      </c>
      <c r="CB53" s="5">
        <f t="shared" si="70"/>
        <v>0.3460512571308817</v>
      </c>
      <c r="CC53" s="5">
        <f t="shared" si="71"/>
        <v>0.3224378803759641</v>
      </c>
      <c r="CD53" s="5">
        <f t="shared" si="72"/>
        <v>0.30016157678953032</v>
      </c>
      <c r="CE53" s="5">
        <f t="shared" si="73"/>
        <v>0.27916940888673042</v>
      </c>
    </row>
    <row r="54" spans="1:83" ht="14.25" customHeight="1">
      <c r="A54" s="24"/>
      <c r="B54" s="6" t="str">
        <f>INDEX(Équivalences!$C$2:$D$397,MATCH("3. For each term, only the first 20 forwards are used in the Base Scenario.",Équivalences!$C$2:$C$397,0), langue)</f>
        <v>3. Pour chaque terme, seuls les 20 premiers taux à terme sont utilisés dans le scénario de base.</v>
      </c>
      <c r="C54" s="5"/>
      <c r="D54" s="6"/>
      <c r="E54" s="6"/>
      <c r="F54" s="6"/>
      <c r="G54" s="6"/>
      <c r="H54" s="6"/>
      <c r="I54" s="6"/>
      <c r="J54" s="6"/>
      <c r="K54" s="14"/>
      <c r="M54" s="24"/>
      <c r="N54" s="42">
        <f t="shared" si="78"/>
        <v>44</v>
      </c>
      <c r="O54" s="50">
        <f t="shared" si="77"/>
        <v>0.02</v>
      </c>
      <c r="P54" s="51">
        <f t="shared" si="23"/>
        <v>28.635796563715122</v>
      </c>
      <c r="Q54" s="52">
        <f t="shared" si="51"/>
        <v>1.9972025652031933E-2</v>
      </c>
      <c r="R54" s="64">
        <f t="shared" si="52"/>
        <v>3.559688111188291E-2</v>
      </c>
      <c r="S54" s="41"/>
      <c r="T54" s="65">
        <f t="shared" si="0"/>
        <v>5.7575687230777328E-2</v>
      </c>
      <c r="U54" s="65">
        <f t="shared" si="4"/>
        <v>5.8064069083437975E-2</v>
      </c>
      <c r="V54" s="65">
        <f t="shared" si="5"/>
        <v>5.8552449385527172E-2</v>
      </c>
      <c r="W54" s="65">
        <f t="shared" si="6"/>
        <v>5.9040828138143153E-2</v>
      </c>
      <c r="X54" s="65">
        <f t="shared" si="7"/>
        <v>5.9529205342369718E-2</v>
      </c>
      <c r="Y54" s="65">
        <f t="shared" si="8"/>
        <v>6.001758099929444E-2</v>
      </c>
      <c r="Z54" s="65">
        <f t="shared" si="9"/>
        <v>6.0505955110003562E-2</v>
      </c>
      <c r="AA54" s="65">
        <f t="shared" si="10"/>
        <v>6.0994327675580662E-2</v>
      </c>
      <c r="AB54" s="65">
        <f t="shared" si="11"/>
        <v>6.1482698697110649E-2</v>
      </c>
      <c r="AC54" s="65">
        <f t="shared" si="12"/>
        <v>6.1971068175675104E-2</v>
      </c>
      <c r="AD54" s="65">
        <f t="shared" si="13"/>
        <v>6.2459436112356714E-2</v>
      </c>
      <c r="AE54" s="65">
        <f t="shared" si="76"/>
        <v>6.294780250823373E-2</v>
      </c>
      <c r="AF54" s="65">
        <f t="shared" si="75"/>
        <v>6.3436167364385065E-2</v>
      </c>
      <c r="AG54" s="65">
        <f t="shared" si="74"/>
        <v>6.3924530681889635E-2</v>
      </c>
      <c r="AH54" s="65">
        <f t="shared" si="53"/>
        <v>6.4412892461823246E-2</v>
      </c>
      <c r="AI54" s="65">
        <f t="shared" si="50"/>
        <v>6.4901252705260815E-2</v>
      </c>
      <c r="AJ54" s="65">
        <f t="shared" si="49"/>
        <v>6.5389611413276594E-2</v>
      </c>
      <c r="AK54" s="65">
        <f t="shared" si="48"/>
        <v>6.5877968586943281E-2</v>
      </c>
      <c r="AL54" s="65">
        <f t="shared" si="47"/>
        <v>6.6366324227332019E-2</v>
      </c>
      <c r="AM54" s="65">
        <f t="shared" si="46"/>
        <v>6.6854678335513729E-2</v>
      </c>
      <c r="AN54" s="6"/>
      <c r="AO54" s="65">
        <f>(1-BL54)/SUM($BL54:BL54)</f>
        <v>5.7575687230777287E-2</v>
      </c>
      <c r="AP54" s="65">
        <f>(1-BM54)/SUM($BL54:BM54)</f>
        <v>5.8050287297213066E-2</v>
      </c>
      <c r="AQ54" s="65">
        <f>(1-BN54)/SUM($BL54:BN54)</f>
        <v>5.8515409414242027E-2</v>
      </c>
      <c r="AR54" s="65">
        <f>(1-BO54)/SUM($BL54:BO54)</f>
        <v>5.8970850569376017E-2</v>
      </c>
      <c r="AS54" s="65">
        <f>(1-BP54)/SUM($BL54:BP54)</f>
        <v>5.9416419473081787E-2</v>
      </c>
      <c r="AT54" s="65">
        <f>(1-BQ54)/SUM($BL54:BQ54)</f>
        <v>5.9851937384416756E-2</v>
      </c>
      <c r="AU54" s="65">
        <f>(1-BR54)/SUM($BL54:BR54)</f>
        <v>6.0277238915525264E-2</v>
      </c>
      <c r="AV54" s="65">
        <f>(1-BS54)/SUM($BL54:BS54)</f>
        <v>6.0692172807690334E-2</v>
      </c>
      <c r="AW54" s="65">
        <f>(1-BT54)/SUM($BL54:BT54)</f>
        <v>6.1096602671446849E-2</v>
      </c>
      <c r="AX54" s="65">
        <f>(1-BU54)/SUM($BL54:BU54)</f>
        <v>6.1490407683182771E-2</v>
      </c>
      <c r="AY54" s="65">
        <f>(1-BV54)/SUM($BL54:BV54)</f>
        <v>6.1873483230707398E-2</v>
      </c>
      <c r="AZ54" s="65">
        <f>(1-BW54)/SUM($BL54:BW54)</f>
        <v>6.2245741500370412E-2</v>
      </c>
      <c r="BA54" s="65">
        <f>(1-BX54)/SUM($BL54:BX54)</f>
        <v>6.2607111998591536E-2</v>
      </c>
      <c r="BB54" s="65">
        <f>(1-BY54)/SUM($BL54:BY54)</f>
        <v>6.2957542000989422E-2</v>
      </c>
      <c r="BC54" s="65">
        <f>(1-BZ54)/SUM($BL54:BZ54)</f>
        <v>6.3296996922786369E-2</v>
      </c>
      <c r="BD54" s="65">
        <f>(1-CA54)/SUM($BL54:CA54)</f>
        <v>6.3625460604754158E-2</v>
      </c>
      <c r="BE54" s="65">
        <f>(1-CB54)/SUM($BL54:CB54)</f>
        <v>6.3942935509647914E-2</v>
      </c>
      <c r="BF54" s="65">
        <f>(1-CC54)/SUM($BL54:CC54)</f>
        <v>6.4249442824881042E-2</v>
      </c>
      <c r="BG54" s="65">
        <f>(1-CD54)/SUM($BL54:CD54)</f>
        <v>6.4545022468078125E-2</v>
      </c>
      <c r="BH54" s="65">
        <f>(1-CE54)/SUM($BL54:CE54)</f>
        <v>6.482973299311745E-2</v>
      </c>
      <c r="BI54" s="14"/>
      <c r="BJ54" s="67"/>
      <c r="BK54" s="6"/>
      <c r="BL54" s="6">
        <f t="shared" si="54"/>
        <v>0.945558802149152</v>
      </c>
      <c r="BM54" s="5">
        <f t="shared" si="55"/>
        <v>0.89325625750087401</v>
      </c>
      <c r="BN54" s="5">
        <f t="shared" si="56"/>
        <v>0.84306848630700515</v>
      </c>
      <c r="BO54" s="5">
        <f t="shared" si="57"/>
        <v>0.79496715675815288</v>
      </c>
      <c r="BP54" s="5">
        <f t="shared" si="58"/>
        <v>0.74891984456576099</v>
      </c>
      <c r="BQ54" s="5">
        <f t="shared" si="59"/>
        <v>0.70489039030010914</v>
      </c>
      <c r="BR54" s="5">
        <f t="shared" si="60"/>
        <v>0.662839252658872</v>
      </c>
      <c r="BS54" s="5">
        <f t="shared" si="61"/>
        <v>0.62272385597575775</v>
      </c>
      <c r="BT54" s="5">
        <f t="shared" si="62"/>
        <v>0.58449893041803069</v>
      </c>
      <c r="BU54" s="5">
        <f t="shared" si="63"/>
        <v>0.54811684346379652</v>
      </c>
      <c r="BV54" s="5">
        <f t="shared" si="64"/>
        <v>0.51352792139321857</v>
      </c>
      <c r="BW54" s="5">
        <f t="shared" si="65"/>
        <v>0.48068075967159707</v>
      </c>
      <c r="BX54" s="5">
        <f t="shared" si="66"/>
        <v>0.44952252124459913</v>
      </c>
      <c r="BY54" s="5">
        <f t="shared" si="67"/>
        <v>0.41999922190656791</v>
      </c>
      <c r="BZ54" s="5">
        <f t="shared" si="68"/>
        <v>0.39205600204004676</v>
      </c>
      <c r="CA54" s="5">
        <f t="shared" si="69"/>
        <v>0.36563738415788244</v>
      </c>
      <c r="CB54" s="5">
        <f t="shared" si="70"/>
        <v>0.34068751580778084</v>
      </c>
      <c r="CC54" s="5">
        <f t="shared" si="71"/>
        <v>0.31715039752194807</v>
      </c>
      <c r="CD54" s="5">
        <f t="shared" si="72"/>
        <v>0.29497009561112586</v>
      </c>
      <c r="CE54" s="5">
        <f t="shared" si="73"/>
        <v>0.27409093971223814</v>
      </c>
    </row>
    <row r="55" spans="1:83" ht="14.25" customHeight="1">
      <c r="A55" s="24"/>
      <c r="B55" s="6"/>
      <c r="C55" s="6"/>
      <c r="D55" s="6"/>
      <c r="E55" s="6"/>
      <c r="F55" s="6"/>
      <c r="G55" s="6"/>
      <c r="H55" s="6"/>
      <c r="I55" s="6"/>
      <c r="J55" s="6"/>
      <c r="K55" s="14"/>
      <c r="M55" s="24"/>
      <c r="N55" s="42">
        <f t="shared" si="78"/>
        <v>45</v>
      </c>
      <c r="O55" s="50">
        <f t="shared" si="77"/>
        <v>0.02</v>
      </c>
      <c r="P55" s="51">
        <f t="shared" si="23"/>
        <v>29.054702513446202</v>
      </c>
      <c r="Q55" s="52">
        <f t="shared" si="51"/>
        <v>1.9972647295873891E-2</v>
      </c>
      <c r="R55" s="84">
        <f t="shared" si="52"/>
        <v>3.6080301080997267E-2</v>
      </c>
      <c r="S55" s="41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14"/>
      <c r="BJ55" s="67"/>
      <c r="BK55" s="6"/>
      <c r="BL55" s="6">
        <f t="shared" si="54"/>
        <v>1</v>
      </c>
      <c r="BM55" s="5">
        <f t="shared" si="55"/>
        <v>1</v>
      </c>
      <c r="BN55" s="5">
        <f t="shared" si="56"/>
        <v>1</v>
      </c>
      <c r="BO55" s="5">
        <f t="shared" si="57"/>
        <v>1</v>
      </c>
      <c r="BP55" s="5">
        <f t="shared" si="58"/>
        <v>1</v>
      </c>
      <c r="BQ55" s="5">
        <f t="shared" si="59"/>
        <v>1</v>
      </c>
      <c r="BR55" s="5">
        <f t="shared" si="60"/>
        <v>1</v>
      </c>
      <c r="BS55" s="5">
        <f t="shared" si="61"/>
        <v>1</v>
      </c>
      <c r="BT55" s="5">
        <f t="shared" si="62"/>
        <v>1</v>
      </c>
      <c r="BU55" s="5">
        <f t="shared" si="63"/>
        <v>1</v>
      </c>
      <c r="BV55" s="5">
        <f t="shared" si="64"/>
        <v>1</v>
      </c>
      <c r="BW55" s="5">
        <f t="shared" si="65"/>
        <v>1</v>
      </c>
      <c r="BX55" s="5">
        <f t="shared" si="66"/>
        <v>1</v>
      </c>
      <c r="BY55" s="5">
        <f t="shared" si="67"/>
        <v>1</v>
      </c>
      <c r="BZ55" s="5">
        <f t="shared" si="68"/>
        <v>1</v>
      </c>
      <c r="CA55" s="5">
        <f t="shared" si="69"/>
        <v>1</v>
      </c>
      <c r="CB55" s="5">
        <f t="shared" si="70"/>
        <v>1</v>
      </c>
      <c r="CC55" s="5">
        <f t="shared" si="71"/>
        <v>1</v>
      </c>
      <c r="CD55" s="5">
        <f t="shared" si="72"/>
        <v>1</v>
      </c>
      <c r="CE55" s="5">
        <f t="shared" si="73"/>
        <v>1</v>
      </c>
    </row>
    <row r="56" spans="1:83" ht="14.25" customHeight="1">
      <c r="A56" s="85"/>
      <c r="B56" s="86"/>
      <c r="C56" s="86"/>
      <c r="D56" s="86"/>
      <c r="E56" s="86"/>
      <c r="F56" s="86"/>
      <c r="G56" s="86"/>
      <c r="H56" s="86"/>
      <c r="I56" s="86"/>
      <c r="J56" s="86"/>
      <c r="K56" s="87"/>
      <c r="M56" s="88"/>
      <c r="N56" s="89">
        <f t="shared" si="78"/>
        <v>46</v>
      </c>
      <c r="O56" s="90">
        <f t="shared" si="77"/>
        <v>0.02</v>
      </c>
      <c r="P56" s="91">
        <f>P55+1/(1+Q55)^N55</f>
        <v>29.465394621025688</v>
      </c>
      <c r="Q56" s="90">
        <f t="shared" si="51"/>
        <v>1.9973241912077055E-2</v>
      </c>
      <c r="R56" s="92">
        <f t="shared" si="52"/>
        <v>3.6563721050111637E-2</v>
      </c>
      <c r="S56" s="93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3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4"/>
      <c r="BJ56" s="67"/>
      <c r="BK56" s="6"/>
    </row>
    <row r="57" spans="1:83" ht="14.25" customHeight="1">
      <c r="A57" s="95"/>
      <c r="B57" s="95"/>
      <c r="C57" s="95"/>
      <c r="D57" s="95"/>
      <c r="E57" s="95"/>
      <c r="F57" s="95"/>
      <c r="G57" s="95"/>
      <c r="H57" s="95"/>
      <c r="I57" s="95"/>
      <c r="J57" s="96"/>
      <c r="K57" s="95"/>
      <c r="M57" s="97"/>
      <c r="N57" s="98">
        <f t="shared" si="78"/>
        <v>47</v>
      </c>
      <c r="O57" s="99">
        <f t="shared" si="77"/>
        <v>0.02</v>
      </c>
      <c r="P57" s="100">
        <f t="shared" ref="P57:P74" si="79">P56+1/(1+Q56)^N56</f>
        <v>29.868033942182045</v>
      </c>
      <c r="Q57" s="99">
        <f t="shared" si="51"/>
        <v>1.9973811225787896E-2</v>
      </c>
      <c r="R57" s="101">
        <f t="shared" si="52"/>
        <v>3.7047141019226001E-2</v>
      </c>
      <c r="S57" s="97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7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7"/>
      <c r="BJ57" s="67"/>
      <c r="BK57" s="6"/>
    </row>
    <row r="58" spans="1:83" ht="14.25" customHeight="1">
      <c r="M58" s="102"/>
      <c r="N58" s="103">
        <f t="shared" si="78"/>
        <v>48</v>
      </c>
      <c r="O58" s="104">
        <f t="shared" si="77"/>
        <v>0.02</v>
      </c>
      <c r="P58" s="105">
        <f t="shared" si="79"/>
        <v>30.262778374688278</v>
      </c>
      <c r="Q58" s="106">
        <f t="shared" si="51"/>
        <v>1.9974356818392103E-2</v>
      </c>
      <c r="R58" s="107">
        <f t="shared" si="52"/>
        <v>3.7530560988340365E-2</v>
      </c>
      <c r="S58" s="102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2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2"/>
      <c r="BJ58" s="67"/>
      <c r="BK58" s="6"/>
    </row>
    <row r="59" spans="1:83" ht="14.25" customHeight="1">
      <c r="M59" s="102"/>
      <c r="N59" s="103">
        <f t="shared" si="78"/>
        <v>49</v>
      </c>
      <c r="O59" s="104">
        <f t="shared" si="77"/>
        <v>0.02</v>
      </c>
      <c r="P59" s="105">
        <f t="shared" si="79"/>
        <v>30.649782720282627</v>
      </c>
      <c r="Q59" s="106">
        <f t="shared" si="51"/>
        <v>1.9974880142184848E-2</v>
      </c>
      <c r="R59" s="107">
        <f t="shared" si="52"/>
        <v>3.8013980957454722E-2</v>
      </c>
      <c r="S59" s="102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2"/>
      <c r="AO59" s="108"/>
      <c r="AP59" s="108"/>
      <c r="AQ59" s="108"/>
      <c r="AR59" s="108"/>
      <c r="AS59" s="108"/>
      <c r="AT59" s="108"/>
      <c r="AU59" s="108"/>
      <c r="AV59" s="108"/>
      <c r="AW59" s="108"/>
      <c r="AX59" s="108"/>
      <c r="AY59" s="108"/>
      <c r="AZ59" s="108"/>
      <c r="BA59" s="108"/>
      <c r="BB59" s="108"/>
      <c r="BC59" s="108"/>
      <c r="BD59" s="108"/>
      <c r="BE59" s="108"/>
      <c r="BF59" s="108"/>
      <c r="BG59" s="108"/>
      <c r="BH59" s="108"/>
      <c r="BI59" s="102"/>
      <c r="BJ59" s="67"/>
      <c r="BK59" s="6"/>
    </row>
    <row r="60" spans="1:83" ht="14.25" customHeight="1">
      <c r="M60" s="102"/>
      <c r="N60" s="103">
        <f t="shared" si="78"/>
        <v>50</v>
      </c>
      <c r="O60" s="104">
        <f t="shared" si="77"/>
        <v>0.02</v>
      </c>
      <c r="P60" s="105">
        <f t="shared" si="79"/>
        <v>31.029198745375126</v>
      </c>
      <c r="Q60" s="106">
        <f t="shared" si="51"/>
        <v>1.9975382533278685E-2</v>
      </c>
      <c r="R60" s="107">
        <f t="shared" si="52"/>
        <v>3.8497400926569086E-2</v>
      </c>
      <c r="S60" s="102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2"/>
      <c r="AO60" s="108"/>
      <c r="AP60" s="108"/>
      <c r="AQ60" s="108"/>
      <c r="AR60" s="108"/>
      <c r="AS60" s="108"/>
      <c r="AT60" s="108"/>
      <c r="AU60" s="108"/>
      <c r="AV60" s="108"/>
      <c r="AW60" s="108"/>
      <c r="AX60" s="108"/>
      <c r="AY60" s="108"/>
      <c r="AZ60" s="108"/>
      <c r="BA60" s="108"/>
      <c r="BB60" s="108"/>
      <c r="BC60" s="108"/>
      <c r="BD60" s="108"/>
      <c r="BE60" s="108"/>
      <c r="BF60" s="108"/>
      <c r="BG60" s="108"/>
      <c r="BH60" s="108"/>
      <c r="BI60" s="102"/>
      <c r="BJ60" s="67"/>
      <c r="BK60" s="6"/>
    </row>
    <row r="61" spans="1:83" ht="14.25" customHeight="1">
      <c r="M61" s="102"/>
      <c r="N61" s="103">
        <f t="shared" si="78"/>
        <v>51</v>
      </c>
      <c r="O61" s="104">
        <f t="shared" si="77"/>
        <v>0.02</v>
      </c>
      <c r="P61" s="105">
        <f t="shared" si="79"/>
        <v>31.401175240563848</v>
      </c>
      <c r="Q61" s="106">
        <f t="shared" si="51"/>
        <v>1.9975865222993772E-2</v>
      </c>
      <c r="R61" s="107">
        <f t="shared" si="52"/>
        <v>3.8980820895683457E-2</v>
      </c>
      <c r="S61" s="102"/>
      <c r="U61" s="234" t="str">
        <f>INDEX(Équivalences!$C$2:$D$397,MATCH("note there are formulas in cells N56 to R57; they are just in white font",Équivalences!$C$2:$C$397,0), langue)</f>
        <v>Note: Il y a des formules dans les cellules N56 à R57 en police blanche</v>
      </c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108"/>
      <c r="AN61" s="102"/>
      <c r="AO61" s="108"/>
      <c r="AP61" s="108"/>
      <c r="AQ61" s="108"/>
      <c r="AR61" s="108"/>
      <c r="AS61" s="108"/>
      <c r="AT61" s="108"/>
      <c r="AU61" s="108"/>
      <c r="AV61" s="108"/>
      <c r="AW61" s="108"/>
      <c r="AX61" s="108"/>
      <c r="AY61" s="108"/>
      <c r="AZ61" s="108"/>
      <c r="BA61" s="108"/>
      <c r="BB61" s="108"/>
      <c r="BC61" s="108"/>
      <c r="BD61" s="108"/>
      <c r="BE61" s="108"/>
      <c r="BF61" s="108"/>
      <c r="BG61" s="108"/>
      <c r="BH61" s="108"/>
      <c r="BI61" s="102"/>
      <c r="BJ61" s="67"/>
      <c r="BK61" s="6"/>
    </row>
    <row r="62" spans="1:83" ht="14.25" customHeight="1">
      <c r="M62" s="102"/>
      <c r="N62" s="103">
        <f t="shared" si="78"/>
        <v>52</v>
      </c>
      <c r="O62" s="104">
        <f t="shared" si="77"/>
        <v>0.02</v>
      </c>
      <c r="P62" s="105">
        <f t="shared" si="79"/>
        <v>31.765858078984166</v>
      </c>
      <c r="Q62" s="106">
        <f t="shared" si="51"/>
        <v>1.9976329347935362E-2</v>
      </c>
      <c r="R62" s="107">
        <f t="shared" si="52"/>
        <v>3.9464240864797814E-2</v>
      </c>
      <c r="S62" s="102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2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108"/>
      <c r="BC62" s="108"/>
      <c r="BD62" s="108"/>
      <c r="BE62" s="108"/>
      <c r="BF62" s="108"/>
      <c r="BG62" s="108"/>
      <c r="BH62" s="108"/>
      <c r="BI62" s="102"/>
      <c r="BJ62" s="67"/>
      <c r="BK62" s="6"/>
    </row>
    <row r="63" spans="1:83" ht="14.25" customHeight="1">
      <c r="M63" s="102"/>
      <c r="N63" s="103">
        <f t="shared" si="78"/>
        <v>53</v>
      </c>
      <c r="O63" s="104">
        <f t="shared" si="77"/>
        <v>0.02</v>
      </c>
      <c r="P63" s="105">
        <f t="shared" si="79"/>
        <v>32.123390273513891</v>
      </c>
      <c r="Q63" s="106">
        <f t="shared" si="51"/>
        <v>1.9976775958927551E-2</v>
      </c>
      <c r="R63" s="107">
        <f t="shared" ref="R63:R90" si="80">((N63-N$30)*LT_Med+(80-N63)*R$30)/(80-N$30)</f>
        <v>3.9947660833912185E-2</v>
      </c>
      <c r="S63" s="102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2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2"/>
      <c r="BJ63" s="67"/>
      <c r="BK63" s="6"/>
    </row>
    <row r="64" spans="1:83" ht="14.25" customHeight="1">
      <c r="M64" s="102"/>
      <c r="N64" s="103">
        <f t="shared" si="78"/>
        <v>54</v>
      </c>
      <c r="O64" s="104">
        <f t="shared" si="77"/>
        <v>0.02</v>
      </c>
      <c r="P64" s="105">
        <f t="shared" si="79"/>
        <v>32.473912032856759</v>
      </c>
      <c r="Q64" s="106">
        <f t="shared" si="51"/>
        <v>1.9977206028956696E-2</v>
      </c>
      <c r="R64" s="107">
        <f t="shared" si="80"/>
        <v>4.0431080803026549E-2</v>
      </c>
      <c r="S64" s="102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2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108"/>
      <c r="BC64" s="108"/>
      <c r="BD64" s="108"/>
      <c r="BE64" s="108"/>
      <c r="BF64" s="108"/>
      <c r="BG64" s="108"/>
      <c r="BH64" s="108"/>
      <c r="BI64" s="102"/>
      <c r="BJ64" s="67"/>
      <c r="BK64" s="6"/>
    </row>
    <row r="65" spans="13:63" ht="14.25" customHeight="1">
      <c r="M65" s="102"/>
      <c r="N65" s="103">
        <f t="shared" si="78"/>
        <v>55</v>
      </c>
      <c r="O65" s="104">
        <f t="shared" si="77"/>
        <v>0.02</v>
      </c>
      <c r="P65" s="105">
        <f t="shared" si="79"/>
        <v>32.817560816526239</v>
      </c>
      <c r="Q65" s="106">
        <f t="shared" si="51"/>
        <v>1.9977620460247314E-2</v>
      </c>
      <c r="R65" s="107">
        <f t="shared" si="80"/>
        <v>4.0914500772140906E-2</v>
      </c>
      <c r="S65" s="102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2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8"/>
      <c r="BC65" s="108"/>
      <c r="BD65" s="108"/>
      <c r="BE65" s="108"/>
      <c r="BF65" s="108"/>
      <c r="BG65" s="108"/>
      <c r="BH65" s="108"/>
      <c r="BI65" s="102"/>
      <c r="BJ65" s="67"/>
      <c r="BK65" s="6"/>
    </row>
    <row r="66" spans="13:63" ht="14.25" customHeight="1">
      <c r="M66" s="102"/>
      <c r="N66" s="103">
        <f t="shared" si="78"/>
        <v>56</v>
      </c>
      <c r="O66" s="104">
        <f t="shared" si="77"/>
        <v>0.02</v>
      </c>
      <c r="P66" s="105">
        <f t="shared" si="79"/>
        <v>33.154471388751212</v>
      </c>
      <c r="Q66" s="106">
        <f t="shared" si="51"/>
        <v>1.9978020090579918E-2</v>
      </c>
      <c r="R66" s="107">
        <f t="shared" si="80"/>
        <v>4.139792074125527E-2</v>
      </c>
      <c r="S66" s="102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2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108"/>
      <c r="BC66" s="108"/>
      <c r="BD66" s="108"/>
      <c r="BE66" s="108"/>
      <c r="BF66" s="108"/>
      <c r="BG66" s="108"/>
      <c r="BH66" s="108"/>
      <c r="BI66" s="102"/>
      <c r="BJ66" s="67"/>
      <c r="BK66" s="6"/>
    </row>
    <row r="67" spans="13:63" ht="14.25" customHeight="1">
      <c r="M67" s="102"/>
      <c r="N67" s="103">
        <f t="shared" si="78"/>
        <v>57</v>
      </c>
      <c r="O67" s="104">
        <f t="shared" si="77"/>
        <v>0.02</v>
      </c>
      <c r="P67" s="105">
        <f t="shared" si="79"/>
        <v>33.484775871324722</v>
      </c>
      <c r="Q67" s="106">
        <f t="shared" si="51"/>
        <v>1.9978405698944046E-2</v>
      </c>
      <c r="R67" s="107">
        <f t="shared" si="80"/>
        <v>4.1881340710369634E-2</v>
      </c>
      <c r="S67" s="102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2"/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  <c r="AY67" s="108"/>
      <c r="AZ67" s="108"/>
      <c r="BA67" s="108"/>
      <c r="BB67" s="108"/>
      <c r="BC67" s="108"/>
      <c r="BD67" s="108"/>
      <c r="BE67" s="108"/>
      <c r="BF67" s="108"/>
      <c r="BG67" s="108"/>
      <c r="BH67" s="108"/>
      <c r="BI67" s="102"/>
      <c r="BJ67" s="67"/>
      <c r="BK67" s="6"/>
    </row>
    <row r="68" spans="13:63" ht="14.25" customHeight="1">
      <c r="M68" s="102"/>
      <c r="N68" s="103">
        <f t="shared" si="78"/>
        <v>58</v>
      </c>
      <c r="O68" s="104">
        <f t="shared" si="77"/>
        <v>0.02</v>
      </c>
      <c r="P68" s="105">
        <f t="shared" si="79"/>
        <v>33.808603795416396</v>
      </c>
      <c r="Q68" s="106">
        <f t="shared" si="51"/>
        <v>1.9978778010606213E-2</v>
      </c>
      <c r="R68" s="107">
        <f t="shared" si="80"/>
        <v>4.2364760679483998E-2</v>
      </c>
      <c r="S68" s="102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2"/>
      <c r="AO68" s="108"/>
      <c r="AP68" s="108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2"/>
      <c r="BJ68" s="67"/>
      <c r="BK68" s="6"/>
    </row>
    <row r="69" spans="13:63" ht="14.25" customHeight="1">
      <c r="M69" s="102"/>
      <c r="N69" s="103">
        <f t="shared" si="78"/>
        <v>59</v>
      </c>
      <c r="O69" s="104">
        <f t="shared" si="77"/>
        <v>0.02</v>
      </c>
      <c r="P69" s="105">
        <f t="shared" si="79"/>
        <v>34.126082152369015</v>
      </c>
      <c r="Q69" s="106">
        <f t="shared" si="51"/>
        <v>1.9979137701663152E-2</v>
      </c>
      <c r="R69" s="107">
        <f t="shared" si="80"/>
        <v>4.2848180648598362E-2</v>
      </c>
      <c r="S69" s="102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2"/>
      <c r="AO69" s="108"/>
      <c r="AP69" s="108"/>
      <c r="AQ69" s="108"/>
      <c r="AR69" s="108"/>
      <c r="AS69" s="108"/>
      <c r="AT69" s="108"/>
      <c r="AU69" s="108"/>
      <c r="AV69" s="108"/>
      <c r="AW69" s="108"/>
      <c r="AX69" s="108"/>
      <c r="AY69" s="108"/>
      <c r="AZ69" s="108"/>
      <c r="BA69" s="108"/>
      <c r="BB69" s="108"/>
      <c r="BC69" s="108"/>
      <c r="BD69" s="108"/>
      <c r="BE69" s="108"/>
      <c r="BF69" s="108"/>
      <c r="BG69" s="108"/>
      <c r="BH69" s="108"/>
      <c r="BI69" s="102"/>
      <c r="BJ69" s="67"/>
    </row>
    <row r="70" spans="13:63" ht="14.25" customHeight="1">
      <c r="M70" s="102"/>
      <c r="N70" s="103">
        <f t="shared" si="78"/>
        <v>60</v>
      </c>
      <c r="O70" s="104">
        <f t="shared" si="77"/>
        <v>0.02</v>
      </c>
      <c r="P70" s="105">
        <f t="shared" si="79"/>
        <v>34.437335443499038</v>
      </c>
      <c r="Q70" s="106">
        <f t="shared" si="51"/>
        <v>1.9979485403138986E-2</v>
      </c>
      <c r="R70" s="107">
        <f t="shared" si="80"/>
        <v>4.3331600617712726E-2</v>
      </c>
      <c r="S70" s="102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8"/>
      <c r="AN70" s="102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8"/>
      <c r="BB70" s="108"/>
      <c r="BC70" s="108"/>
      <c r="BD70" s="108"/>
      <c r="BE70" s="108"/>
      <c r="BF70" s="108"/>
      <c r="BG70" s="108"/>
      <c r="BH70" s="108"/>
      <c r="BI70" s="102"/>
      <c r="BJ70" s="67"/>
    </row>
    <row r="71" spans="13:63" ht="14.25" customHeight="1">
      <c r="N71" s="103">
        <f t="shared" si="78"/>
        <v>61</v>
      </c>
      <c r="O71" s="108">
        <f t="shared" si="77"/>
        <v>0.02</v>
      </c>
      <c r="P71" s="109">
        <f t="shared" si="79"/>
        <v>34.742485728920627</v>
      </c>
      <c r="Q71" s="108">
        <f t="shared" si="51"/>
        <v>1.9979821704678935E-2</v>
      </c>
      <c r="R71" s="107">
        <f t="shared" si="80"/>
        <v>4.381502058682709E-2</v>
      </c>
      <c r="S71" s="110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11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8"/>
      <c r="BB71" s="108"/>
      <c r="BC71" s="108"/>
      <c r="BD71" s="108"/>
      <c r="BE71" s="108"/>
      <c r="BF71" s="108"/>
      <c r="BG71" s="108"/>
      <c r="BH71" s="108"/>
      <c r="BJ71" s="67"/>
    </row>
    <row r="72" spans="13:63">
      <c r="N72" s="103">
        <f t="shared" si="78"/>
        <v>62</v>
      </c>
      <c r="O72" s="104">
        <f t="shared" si="77"/>
        <v>0.02</v>
      </c>
      <c r="P72" s="105">
        <f t="shared" si="79"/>
        <v>35.041652675412379</v>
      </c>
      <c r="Q72" s="106">
        <f t="shared" si="51"/>
        <v>1.9980147157887762E-2</v>
      </c>
      <c r="R72" s="107">
        <f t="shared" si="80"/>
        <v>4.4298440555941454E-2</v>
      </c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5"/>
      <c r="BD72" s="65"/>
      <c r="BE72" s="65"/>
      <c r="BF72" s="65"/>
      <c r="BG72" s="65"/>
      <c r="BH72" s="65"/>
      <c r="BJ72" s="67"/>
    </row>
    <row r="73" spans="13:63">
      <c r="N73" s="103">
        <f t="shared" si="78"/>
        <v>63</v>
      </c>
      <c r="O73" s="104">
        <f t="shared" si="77"/>
        <v>0.02</v>
      </c>
      <c r="P73" s="105">
        <f t="shared" si="79"/>
        <v>35.334953603345468</v>
      </c>
      <c r="Q73" s="106">
        <f t="shared" si="51"/>
        <v>1.9980462279347799E-2</v>
      </c>
      <c r="R73" s="107">
        <f t="shared" si="80"/>
        <v>4.4781860525055818E-2</v>
      </c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5"/>
      <c r="BC73" s="65"/>
      <c r="BD73" s="65"/>
      <c r="BE73" s="65"/>
      <c r="BF73" s="65"/>
      <c r="BG73" s="65"/>
      <c r="BH73" s="65"/>
      <c r="BJ73" s="67"/>
    </row>
    <row r="74" spans="13:63">
      <c r="N74" s="103">
        <f t="shared" si="78"/>
        <v>64</v>
      </c>
      <c r="O74" s="104">
        <f t="shared" si="77"/>
        <v>0.02</v>
      </c>
      <c r="P74" s="105">
        <f t="shared" si="79"/>
        <v>35.622503532691631</v>
      </c>
      <c r="Q74" s="106">
        <f t="shared" si="51"/>
        <v>1.9980767553354761E-2</v>
      </c>
      <c r="R74" s="107">
        <f t="shared" si="80"/>
        <v>4.5265280494170182E-2</v>
      </c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J74" s="67"/>
    </row>
    <row r="75" spans="13:63">
      <c r="N75" s="103">
        <f t="shared" si="78"/>
        <v>65</v>
      </c>
      <c r="O75" s="104">
        <f t="shared" si="77"/>
        <v>0.02</v>
      </c>
      <c r="P75" s="105">
        <f t="shared" ref="P75:P89" si="81">P74+1/(1+Q74)^N74</f>
        <v>35.904415228129054</v>
      </c>
      <c r="Q75" s="106">
        <f t="shared" si="51"/>
        <v>1.9981063434402868E-2</v>
      </c>
      <c r="R75" s="107">
        <f t="shared" si="80"/>
        <v>4.5748700463284539E-2</v>
      </c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J75" s="67"/>
    </row>
    <row r="76" spans="13:63">
      <c r="N76" s="103">
        <f t="shared" si="78"/>
        <v>66</v>
      </c>
      <c r="O76" s="104">
        <f t="shared" si="77"/>
        <v>0.02</v>
      </c>
      <c r="P76" s="105">
        <f t="shared" si="81"/>
        <v>36.180799243263777</v>
      </c>
      <c r="Q76" s="106">
        <f t="shared" si="51"/>
        <v>1.9981350349440374E-2</v>
      </c>
      <c r="R76" s="107">
        <f t="shared" si="80"/>
        <v>4.6232120432398903E-2</v>
      </c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  <c r="BH76" s="65"/>
      <c r="BJ76" s="67"/>
    </row>
    <row r="77" spans="13:63">
      <c r="N77" s="103">
        <f t="shared" si="78"/>
        <v>67</v>
      </c>
      <c r="O77" s="104">
        <f t="shared" si="77"/>
        <v>0.02</v>
      </c>
      <c r="P77" s="105">
        <f t="shared" si="81"/>
        <v>36.451763963984092</v>
      </c>
      <c r="Q77" s="106">
        <f t="shared" si="51"/>
        <v>1.9981628699927034E-2</v>
      </c>
      <c r="R77" s="107">
        <f t="shared" si="80"/>
        <v>4.6715540401513274E-2</v>
      </c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  <c r="BH77" s="65"/>
      <c r="BJ77" s="67"/>
    </row>
    <row r="78" spans="13:63">
      <c r="N78" s="103">
        <f t="shared" si="78"/>
        <v>68</v>
      </c>
      <c r="O78" s="104">
        <f t="shared" si="77"/>
        <v>0.02</v>
      </c>
      <c r="P78" s="105">
        <f t="shared" si="81"/>
        <v>36.717415650964796</v>
      </c>
      <c r="Q78" s="106">
        <f t="shared" si="51"/>
        <v>1.998189886370727E-2</v>
      </c>
      <c r="R78" s="107">
        <f t="shared" si="80"/>
        <v>4.7198960370627638E-2</v>
      </c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J78" s="67"/>
    </row>
    <row r="79" spans="13:63">
      <c r="N79" s="103">
        <f t="shared" si="78"/>
        <v>69</v>
      </c>
      <c r="O79" s="104">
        <f t="shared" si="77"/>
        <v>0.02</v>
      </c>
      <c r="P79" s="105">
        <f t="shared" si="81"/>
        <v>36.977858481338039</v>
      </c>
      <c r="Q79" s="106">
        <f t="shared" si="51"/>
        <v>1.9982161196721915E-2</v>
      </c>
      <c r="R79" s="107">
        <f t="shared" si="80"/>
        <v>4.7682380339742002E-2</v>
      </c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J79" s="67"/>
    </row>
    <row r="80" spans="13:63">
      <c r="N80" s="103">
        <f t="shared" si="78"/>
        <v>70</v>
      </c>
      <c r="O80" s="104">
        <f t="shared" si="77"/>
        <v>0.02</v>
      </c>
      <c r="P80" s="105">
        <f t="shared" si="81"/>
        <v>37.233194589547097</v>
      </c>
      <c r="Q80" s="106">
        <f t="shared" si="51"/>
        <v>1.998241603457207E-2</v>
      </c>
      <c r="R80" s="107">
        <f t="shared" si="80"/>
        <v>4.8165800308856359E-2</v>
      </c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  <c r="BH80" s="65"/>
      <c r="BJ80" s="67"/>
    </row>
    <row r="81" spans="14:62">
      <c r="N81" s="103">
        <f t="shared" si="78"/>
        <v>71</v>
      </c>
      <c r="O81" s="104">
        <f t="shared" si="77"/>
        <v>0.02</v>
      </c>
      <c r="P81" s="105">
        <f t="shared" si="81"/>
        <v>37.483524107399113</v>
      </c>
      <c r="Q81" s="106">
        <f t="shared" si="51"/>
        <v>1.9982663693952407E-2</v>
      </c>
      <c r="R81" s="107">
        <f t="shared" si="80"/>
        <v>4.8649220277970723E-2</v>
      </c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  <c r="BH81" s="65"/>
      <c r="BJ81" s="67"/>
    </row>
    <row r="82" spans="14:62">
      <c r="N82" s="103">
        <f t="shared" si="78"/>
        <v>72</v>
      </c>
      <c r="O82" s="104">
        <f t="shared" si="77"/>
        <v>0.02</v>
      </c>
      <c r="P82" s="105">
        <f t="shared" si="81"/>
        <v>37.728945203332465</v>
      </c>
      <c r="Q82" s="106">
        <f t="shared" si="51"/>
        <v>1.9982904473963004E-2</v>
      </c>
      <c r="R82" s="107">
        <f t="shared" si="80"/>
        <v>4.9132640247085087E-2</v>
      </c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  <c r="BH82" s="65"/>
      <c r="BJ82" s="67"/>
    </row>
    <row r="83" spans="14:62">
      <c r="N83" s="103">
        <f t="shared" si="78"/>
        <v>73</v>
      </c>
      <c r="O83" s="104">
        <f t="shared" si="77"/>
        <v>0.02</v>
      </c>
      <c r="P83" s="105">
        <f t="shared" si="81"/>
        <v>37.969554120914182</v>
      </c>
      <c r="Q83" s="106">
        <f t="shared" si="51"/>
        <v>1.9983138657315491E-2</v>
      </c>
      <c r="R83" s="107">
        <f t="shared" si="80"/>
        <v>4.9616060216199451E-2</v>
      </c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  <c r="BG83" s="65"/>
      <c r="BH83" s="65"/>
      <c r="BJ83" s="67"/>
    </row>
    <row r="84" spans="14:62">
      <c r="N84" s="103">
        <f t="shared" si="78"/>
        <v>74</v>
      </c>
      <c r="O84" s="104">
        <f t="shared" si="77"/>
        <v>0.02</v>
      </c>
      <c r="P84" s="105">
        <f t="shared" si="81"/>
        <v>38.205445216582532</v>
      </c>
      <c r="Q84" s="106">
        <f t="shared" si="51"/>
        <v>1.9983366511439948E-2</v>
      </c>
      <c r="R84" s="107">
        <f t="shared" si="80"/>
        <v>5.0099480185313822E-2</v>
      </c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65"/>
      <c r="BG84" s="65"/>
      <c r="BH84" s="65"/>
      <c r="BJ84" s="67"/>
    </row>
    <row r="85" spans="14:62">
      <c r="N85" s="103">
        <f t="shared" si="78"/>
        <v>75</v>
      </c>
      <c r="O85" s="104">
        <f t="shared" si="77"/>
        <v>0.02</v>
      </c>
      <c r="P85" s="105">
        <f t="shared" si="81"/>
        <v>38.436710996649545</v>
      </c>
      <c r="Q85" s="106">
        <f t="shared" si="51"/>
        <v>1.9983588289503196E-2</v>
      </c>
      <c r="R85" s="107">
        <f t="shared" si="80"/>
        <v>5.0582900154428186E-2</v>
      </c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O85" s="65"/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  <c r="BB85" s="65"/>
      <c r="BC85" s="65"/>
      <c r="BD85" s="65"/>
      <c r="BE85" s="65"/>
      <c r="BF85" s="65"/>
      <c r="BG85" s="65"/>
      <c r="BH85" s="65"/>
      <c r="BJ85" s="67"/>
    </row>
    <row r="86" spans="14:62">
      <c r="N86" s="103">
        <f t="shared" si="78"/>
        <v>76</v>
      </c>
      <c r="O86" s="104">
        <f t="shared" si="77"/>
        <v>0.02</v>
      </c>
      <c r="P86" s="105">
        <f t="shared" si="81"/>
        <v>38.663442153577982</v>
      </c>
      <c r="Q86" s="106">
        <f t="shared" si="51"/>
        <v>1.9983804231347824E-2</v>
      </c>
      <c r="R86" s="107">
        <f t="shared" si="80"/>
        <v>5.1066320123542543E-2</v>
      </c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5"/>
      <c r="BG86" s="65"/>
      <c r="BH86" s="65"/>
      <c r="BJ86" s="67"/>
    </row>
    <row r="87" spans="14:62">
      <c r="N87" s="103">
        <f t="shared" si="78"/>
        <v>77</v>
      </c>
      <c r="O87" s="104">
        <f t="shared" si="77"/>
        <v>0.02</v>
      </c>
      <c r="P87" s="105">
        <f t="shared" si="81"/>
        <v>38.885727601547046</v>
      </c>
      <c r="Q87" s="106">
        <f t="shared" si="51"/>
        <v>1.99840145643575E-2</v>
      </c>
      <c r="R87" s="107">
        <f t="shared" si="80"/>
        <v>5.1549740092656907E-2</v>
      </c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J87" s="67"/>
    </row>
    <row r="88" spans="14:62">
      <c r="N88" s="103">
        <f t="shared" si="78"/>
        <v>78</v>
      </c>
      <c r="O88" s="104">
        <f t="shared" si="77"/>
        <v>0.02</v>
      </c>
      <c r="P88" s="105">
        <f t="shared" si="81"/>
        <v>39.103654511320634</v>
      </c>
      <c r="Q88" s="106">
        <f t="shared" si="51"/>
        <v>1.9984219504254774E-2</v>
      </c>
      <c r="R88" s="107">
        <f t="shared" si="80"/>
        <v>5.2033160061771271E-2</v>
      </c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J88" s="67"/>
    </row>
    <row r="89" spans="14:62">
      <c r="N89" s="103">
        <f t="shared" si="78"/>
        <v>79</v>
      </c>
      <c r="O89" s="104">
        <f t="shared" si="77"/>
        <v>0.02</v>
      </c>
      <c r="P89" s="105">
        <f t="shared" si="81"/>
        <v>39.317308344431993</v>
      </c>
      <c r="Q89" s="106">
        <f t="shared" si="51"/>
        <v>1.9984419255839825E-2</v>
      </c>
      <c r="R89" s="107">
        <f t="shared" si="80"/>
        <v>5.2516580030885635E-2</v>
      </c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  <c r="BG89" s="65"/>
      <c r="BH89" s="65"/>
      <c r="BJ89" s="67"/>
    </row>
    <row r="90" spans="14:62">
      <c r="N90" s="103">
        <f t="shared" si="78"/>
        <v>80</v>
      </c>
      <c r="O90" s="104">
        <f t="shared" si="77"/>
        <v>0.02</v>
      </c>
      <c r="P90" s="105">
        <f t="shared" ref="P90" si="82">P89+1/(1+Q89)^N89</f>
        <v>39.526772886698033</v>
      </c>
      <c r="Q90" s="106">
        <f t="shared" si="51"/>
        <v>1.9984614013673019E-2</v>
      </c>
      <c r="R90" s="107">
        <f t="shared" si="80"/>
        <v>5.2999999999999999E-2</v>
      </c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  <c r="BH90" s="65"/>
      <c r="BJ90" s="67"/>
    </row>
  </sheetData>
  <sheetProtection selectLockedCells="1"/>
  <phoneticPr fontId="2" type="noConversion"/>
  <conditionalFormatting sqref="Q30:Q40">
    <cfRule type="cellIs" dxfId="0" priority="11" stopIfTrue="1" operator="equal">
      <formula>$D$52</formula>
    </cfRule>
  </conditionalFormatting>
  <pageMargins left="0.36" right="0.25" top="0.51" bottom="0.6" header="0.511811023622047" footer="0.47244094488188998"/>
  <pageSetup scale="62" orientation="portrait" horizontalDpi="1200" verticalDpi="1200" r:id="rId1"/>
  <headerFooter alignWithMargins="0">
    <oddHeader>&amp;R&amp;"Arial Narrow,Italic"&amp;8&amp;D</oddHeader>
    <oddFooter>&amp;L&amp;"Arial Narrow,Italic"&amp;8&amp;F&amp;R&amp;"Arial Narrow,Italic"&amp;8Page &amp;P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3459" r:id="rId4">
          <objectPr defaultSize="0" r:id="rId5">
            <anchor moveWithCells="1">
              <from>
                <xdr:col>3</xdr:col>
                <xdr:colOff>19050</xdr:colOff>
                <xdr:row>15</xdr:row>
                <xdr:rowOff>76200</xdr:rowOff>
              </from>
              <to>
                <xdr:col>9</xdr:col>
                <xdr:colOff>390525</xdr:colOff>
                <xdr:row>19</xdr:row>
                <xdr:rowOff>19050</xdr:rowOff>
              </to>
            </anchor>
          </objectPr>
        </oleObject>
      </mc:Choice>
      <mc:Fallback>
        <oleObject progId="Equation.3" shapeId="103459" r:id="rId4"/>
      </mc:Fallback>
    </mc:AlternateContent>
    <mc:AlternateContent xmlns:mc="http://schemas.openxmlformats.org/markup-compatibility/2006">
      <mc:Choice Requires="x14">
        <oleObject progId="Equation.3" shapeId="103462" r:id="rId6">
          <objectPr defaultSize="0" autoPict="0" r:id="rId7">
            <anchor moveWithCells="1">
              <from>
                <xdr:col>3</xdr:col>
                <xdr:colOff>28575</xdr:colOff>
                <xdr:row>7</xdr:row>
                <xdr:rowOff>38100</xdr:rowOff>
              </from>
              <to>
                <xdr:col>8</xdr:col>
                <xdr:colOff>76200</xdr:colOff>
                <xdr:row>12</xdr:row>
                <xdr:rowOff>152400</xdr:rowOff>
              </to>
            </anchor>
          </objectPr>
        </oleObject>
      </mc:Choice>
      <mc:Fallback>
        <oleObject progId="Equation.3" shapeId="103462" r:id="rId6"/>
      </mc:Fallback>
    </mc:AlternateContent>
    <mc:AlternateContent xmlns:mc="http://schemas.openxmlformats.org/markup-compatibility/2006">
      <mc:Choice Requires="x14">
        <oleObject progId="Equation.3" shapeId="103463" r:id="rId8">
          <objectPr defaultSize="0" r:id="rId9">
            <anchor moveWithCells="1">
              <from>
                <xdr:col>3</xdr:col>
                <xdr:colOff>28575</xdr:colOff>
                <xdr:row>21</xdr:row>
                <xdr:rowOff>95250</xdr:rowOff>
              </from>
              <to>
                <xdr:col>8</xdr:col>
                <xdr:colOff>104775</xdr:colOff>
                <xdr:row>25</xdr:row>
                <xdr:rowOff>133350</xdr:rowOff>
              </to>
            </anchor>
          </objectPr>
        </oleObject>
      </mc:Choice>
      <mc:Fallback>
        <oleObject progId="Equation.3" shapeId="103463" r:id="rId8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10"/>
  <sheetViews>
    <sheetView zoomScaleNormal="100" zoomScaleSheetLayoutView="85" workbookViewId="0"/>
  </sheetViews>
  <sheetFormatPr defaultColWidth="9.140625" defaultRowHeight="12.75"/>
  <cols>
    <col min="1" max="1" width="9" style="95" customWidth="1"/>
    <col min="2" max="15" width="8.85546875" style="95" customWidth="1"/>
    <col min="16" max="16384" width="9.140625" style="95"/>
  </cols>
  <sheetData>
    <row r="1" spans="1:14" s="5" customFormat="1" ht="15.75">
      <c r="A1" s="3" t="str">
        <f>INDEX(Équivalences!$C$2:$D$397,MATCH("Example of Scenario",Équivalences!$C$2:$C$397,0), langue)</f>
        <v>Exemple de scénario</v>
      </c>
      <c r="C1" s="4"/>
      <c r="D1" s="4"/>
      <c r="E1" s="4"/>
      <c r="F1" s="4"/>
      <c r="G1" s="4"/>
    </row>
    <row r="2" spans="1:14" s="5" customFormat="1">
      <c r="C2" s="4"/>
      <c r="D2" s="4"/>
      <c r="E2" s="4"/>
      <c r="F2" s="4"/>
      <c r="G2" s="4"/>
    </row>
    <row r="4" spans="1:14">
      <c r="B4" s="224" t="str">
        <f>C4&amp;CHAR(10)&amp;C5</f>
        <v>Taux de rendement effectif d'obligation fédérale à échéance de : 1 an, 5 ans, 10 ans, 20 ans
Scénario de base et année de projection</v>
      </c>
      <c r="C4" s="220" t="str">
        <f>INDEX(Équivalences!$C$2:$D$397,MATCH("1-Year, 5-Year, 10-Year and 20-Year Government Annual Effective Yields to Maturity",Équivalences!$C$2:$C$397,0), langue)</f>
        <v>Taux de rendement effectif d'obligation fédérale à échéance de : 1 an, 5 ans, 10 ans, 20 ans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</row>
    <row r="5" spans="1:14">
      <c r="C5" s="225" t="str">
        <f>INDEX(Équivalences!$C$2:$D$397,MATCH("Base Scenario and Projection Year",Équivalences!$C$2:$C$397,0), langue)</f>
        <v>Scénario de base et année de projection</v>
      </c>
      <c r="D5" s="221"/>
      <c r="E5" s="221"/>
      <c r="F5" s="221"/>
      <c r="G5" s="222"/>
      <c r="H5" s="221"/>
      <c r="I5" s="221"/>
      <c r="J5" s="221"/>
      <c r="K5" s="221"/>
    </row>
    <row r="6" spans="1:14" ht="13.5">
      <c r="A6" s="218"/>
      <c r="B6" s="220" t="str">
        <f>INDEX(Équivalences!$C$2:$D$397,MATCH("Annual Effective Yields to Maturity",Équivalences!$C$2:$C$397,0), langue)</f>
        <v>Taux de rendement annuel effectif jusqu'à échéance des obligations</v>
      </c>
    </row>
    <row r="7" spans="1:14" ht="13.5">
      <c r="A7" s="218"/>
    </row>
    <row r="8" spans="1:14" ht="13.5">
      <c r="A8" s="218"/>
      <c r="B8" s="153"/>
    </row>
    <row r="10" spans="1:14">
      <c r="B10" s="220" t="str">
        <f>INDEX(Équivalences!$C$2:$D$397,MATCH("Projection Year",Équivalences!$C$2:$C$397,0), langue)</f>
        <v>Année de projection</v>
      </c>
    </row>
  </sheetData>
  <sheetProtection selectLockedCells="1"/>
  <pageMargins left="0.52" right="0.45" top="0.67" bottom="0.63" header="0.511811023622047" footer="0.47244094488188998"/>
  <pageSetup scale="68" orientation="portrait" horizontalDpi="1200" verticalDpi="1200" r:id="rId1"/>
  <headerFooter alignWithMargins="0">
    <oddHeader>&amp;R&amp;"Arial Narrow,Italic"&amp;8&amp;D</oddHeader>
    <oddFooter>&amp;L&amp;"Arial Narrow,Italic"&amp;8&amp;F&amp;R&amp;"Arial Narrow,Italic"&amp;8Page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2"/>
  <dimension ref="A1:AJ80"/>
  <sheetViews>
    <sheetView defaultGridColor="0" colorId="22" zoomScaleNormal="100" zoomScaleSheetLayoutView="100" workbookViewId="0">
      <pane xSplit="1" ySplit="16" topLeftCell="D38" activePane="bottomRight" state="frozen"/>
      <selection activeCell="B48" sqref="B48"/>
      <selection pane="topRight" activeCell="B48" sqref="B48"/>
      <selection pane="bottomLeft" activeCell="B48" sqref="B48"/>
      <selection pane="bottomRight"/>
    </sheetView>
  </sheetViews>
  <sheetFormatPr defaultColWidth="9.7109375" defaultRowHeight="12.75"/>
  <cols>
    <col min="1" max="1" width="30.85546875" style="126" customWidth="1"/>
    <col min="2" max="2" width="2.140625" style="126" customWidth="1"/>
    <col min="3" max="21" width="8.7109375" style="126" customWidth="1"/>
    <col min="22" max="22" width="8.7109375" style="5" customWidth="1"/>
    <col min="23" max="23" width="1.42578125" style="5" customWidth="1"/>
    <col min="24" max="24" width="13.28515625" style="5" customWidth="1"/>
    <col min="25" max="26" width="9.7109375" style="5"/>
    <col min="27" max="27" width="9.7109375" style="5" customWidth="1"/>
    <col min="28" max="28" width="9.7109375" style="5"/>
    <col min="29" max="29" width="10.5703125" style="5" customWidth="1"/>
    <col min="30" max="30" width="9.7109375" style="5"/>
    <col min="31" max="31" width="9.7109375" style="5" customWidth="1"/>
    <col min="32" max="32" width="10.5703125" style="5" bestFit="1" customWidth="1"/>
    <col min="33" max="35" width="9.7109375" style="5" customWidth="1"/>
    <col min="36" max="16384" width="9.7109375" style="5"/>
  </cols>
  <sheetData>
    <row r="1" spans="1:36" ht="15.75">
      <c r="A1" s="3" t="str">
        <f>INDEX(Équivalences!$C$2:$D$397,MATCH("Example of Scenario",Équivalences!$C$2:$C$397,0), langue)</f>
        <v>Exemple de scénario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36">
      <c r="A2" s="117"/>
      <c r="B2" s="5"/>
      <c r="C2" s="4" t="str">
        <f>INDEX(Équivalences!$C$2:$D$397,MATCH(" = Observed n-yr rate @ valuation date",Équivalences!$C$2:$C$397,0), langue)</f>
        <v xml:space="preserve"> = Taux n-ans observé à la date d'évaluation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X2" s="154"/>
      <c r="Y2" s="6"/>
      <c r="Z2" s="6"/>
      <c r="AA2" s="6"/>
      <c r="AB2" s="6"/>
    </row>
    <row r="3" spans="1:36" ht="14.25" customHeight="1" thickBot="1">
      <c r="A3" s="118"/>
      <c r="B3" s="5"/>
      <c r="C3" s="4" t="str">
        <f>INDEX(Équivalences!$C$2:$D$397,MATCH(" = Implied n-yr forward par rates",Équivalences!$C$2:$C$397,0), langue)</f>
        <v xml:space="preserve"> = Taux n-ans au pair à terme implicite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X3" s="155"/>
      <c r="Y3" s="6"/>
      <c r="Z3" s="6"/>
      <c r="AA3" s="6"/>
      <c r="AB3" s="6"/>
    </row>
    <row r="4" spans="1:36" ht="14.25" customHeight="1" thickBot="1">
      <c r="A4" s="120"/>
      <c r="B4" s="5"/>
      <c r="C4" s="4" t="str">
        <f>INDEX(Équivalences!$C$2:$D$397,MATCH(" = Smoothly interpolated rates",Équivalences!$C$2:$C$397,0), langue)</f>
        <v xml:space="preserve"> = Taux interpolés avec lissage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X4" s="157"/>
      <c r="Y4" s="158"/>
      <c r="Z4" s="157"/>
      <c r="AA4" s="159"/>
      <c r="AB4" s="159"/>
      <c r="AC4" s="160" t="str">
        <f>INDEX(Équivalences!$C$2:$D$397,MATCH("High",Équivalences!$C$2:$C$397,0), langue)</f>
        <v>Haut</v>
      </c>
      <c r="AD4" s="4"/>
    </row>
    <row r="5" spans="1:36" ht="14.25" customHeight="1">
      <c r="A5" s="156"/>
      <c r="B5" s="5"/>
      <c r="C5" s="4" t="str">
        <f>INDEX(Équivalences!$C$2:$D$397,MATCH(" = Ultimate or nodal rate (as promulgated for 1-yr and 20-yr, or developed for 2-19 year)",Équivalences!$C$2:$C$397,0), langue)</f>
        <v xml:space="preserve"> = Taux ultime ou nodal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X5" s="161"/>
      <c r="Y5" s="162"/>
      <c r="Z5" s="157"/>
      <c r="AA5" s="125"/>
      <c r="AB5" s="123"/>
      <c r="AC5" s="163">
        <v>0.104</v>
      </c>
      <c r="AD5" s="4"/>
    </row>
    <row r="6" spans="1:36" ht="10.5" customHeight="1" thickBot="1">
      <c r="A6" s="9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121"/>
      <c r="X6" s="161"/>
      <c r="Y6" s="164"/>
      <c r="Z6" s="161"/>
      <c r="AA6" s="123"/>
      <c r="AB6" s="123"/>
      <c r="AC6" s="122">
        <v>0.1</v>
      </c>
      <c r="AD6" s="4"/>
    </row>
    <row r="7" spans="1:36" ht="7.5" customHeight="1">
      <c r="A7" s="95"/>
      <c r="B7" s="199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165"/>
      <c r="Y7" s="165"/>
      <c r="Z7" s="165"/>
      <c r="AA7" s="123"/>
      <c r="AB7" s="123"/>
      <c r="AC7" s="125"/>
      <c r="AD7" s="4"/>
    </row>
    <row r="8" spans="1:36" ht="12.75" customHeight="1">
      <c r="A8" s="209"/>
      <c r="B8" s="199"/>
      <c r="C8" s="201" t="str">
        <f>INDEX(Équivalences!$C$2:$D$397,MATCH("1-yr",Équivalences!$C$2:$C$397,0), langue)</f>
        <v>1 an</v>
      </c>
      <c r="D8" s="201" t="str">
        <f>INDEX(Équivalences!$C$2:$D$397,MATCH("2-yr",Équivalences!$C$2:$C$397,0), langue)</f>
        <v>2 ans</v>
      </c>
      <c r="E8" s="201" t="str">
        <f>INDEX(Équivalences!$C$2:$D$397,MATCH("3-yr",Équivalences!$C$2:$C$397,0), langue)</f>
        <v>3 ans</v>
      </c>
      <c r="F8" s="201" t="str">
        <f>INDEX(Équivalences!$C$2:$D$397,MATCH("4-yr",Équivalences!$C$2:$C$397,0), langue)</f>
        <v>4 ans</v>
      </c>
      <c r="G8" s="201" t="str">
        <f>INDEX(Équivalences!$C$2:$D$397,MATCH("5-yr",Équivalences!$C$2:$C$397,0), langue)</f>
        <v>5 ans</v>
      </c>
      <c r="H8" s="201" t="str">
        <f>INDEX(Équivalences!$C$2:$D$397,MATCH("6-yr",Équivalences!$C$2:$C$397,0), langue)</f>
        <v>6 ans</v>
      </c>
      <c r="I8" s="201" t="str">
        <f>INDEX(Équivalences!$C$2:$D$397,MATCH("7-yr",Équivalences!$C$2:$C$397,0), langue)</f>
        <v>7 ans</v>
      </c>
      <c r="J8" s="201" t="str">
        <f>INDEX(Équivalences!$C$2:$D$397,MATCH("8-yr",Équivalences!$C$2:$C$397,0), langue)</f>
        <v>8 ans</v>
      </c>
      <c r="K8" s="201" t="str">
        <f>INDEX(Équivalences!$C$2:$D$397,MATCH("9-yr",Équivalences!$C$2:$C$397,0), langue)</f>
        <v>9 ans</v>
      </c>
      <c r="L8" s="201" t="str">
        <f>INDEX(Équivalences!$C$2:$D$397,MATCH("10-yr",Équivalences!$C$2:$C$397,0), langue)</f>
        <v>10 ans</v>
      </c>
      <c r="M8" s="201" t="str">
        <f>INDEX(Équivalences!$C$2:$D$397,MATCH("11-yr",Équivalences!$C$2:$C$397,0), langue)</f>
        <v>11 ans</v>
      </c>
      <c r="N8" s="201" t="str">
        <f>INDEX(Équivalences!$C$2:$D$397,MATCH("12-yr",Équivalences!$C$2:$C$397,0), langue)</f>
        <v>12 ans</v>
      </c>
      <c r="O8" s="201" t="str">
        <f>INDEX(Équivalences!$C$2:$D$397,MATCH("13-yr",Équivalences!$C$2:$C$397,0), langue)</f>
        <v>13 ans</v>
      </c>
      <c r="P8" s="201" t="str">
        <f>INDEX(Équivalences!$C$2:$D$397,MATCH("14-yr",Équivalences!$C$2:$C$397,0), langue)</f>
        <v>14 ans</v>
      </c>
      <c r="Q8" s="201" t="str">
        <f>INDEX(Équivalences!$C$2:$D$397,MATCH("15-yr",Équivalences!$C$2:$C$397,0), langue)</f>
        <v>15 ans</v>
      </c>
      <c r="R8" s="201" t="str">
        <f>INDEX(Équivalences!$C$2:$D$397,MATCH("16-yr",Équivalences!$C$2:$C$397,0), langue)</f>
        <v>16 ans</v>
      </c>
      <c r="S8" s="201" t="str">
        <f>INDEX(Équivalences!$C$2:$D$397,MATCH("17-yr",Équivalences!$C$2:$C$397,0), langue)</f>
        <v>17 ans</v>
      </c>
      <c r="T8" s="201" t="str">
        <f>INDEX(Équivalences!$C$2:$D$397,MATCH("18-yr",Équivalences!$C$2:$C$397,0), langue)</f>
        <v>18 ans</v>
      </c>
      <c r="U8" s="201" t="str">
        <f>INDEX(Équivalences!$C$2:$D$397,MATCH("19-yr",Équivalences!$C$2:$C$397,0), langue)</f>
        <v>19 ans</v>
      </c>
      <c r="V8" s="202" t="str">
        <f>INDEX(Équivalences!$C$2:$D$397,MATCH("20-yr",Équivalences!$C$2:$C$397,0), langue)</f>
        <v>20 ans</v>
      </c>
      <c r="W8" s="95"/>
      <c r="X8" s="165"/>
      <c r="Y8" s="165"/>
      <c r="Z8" s="165"/>
      <c r="AA8" s="123"/>
      <c r="AB8" s="123"/>
      <c r="AC8" s="125"/>
      <c r="AD8" s="4"/>
    </row>
    <row r="9" spans="1:36" ht="14.25" customHeight="1">
      <c r="A9" s="210" t="str">
        <f>INDEX(Équivalences!$C$2:$D$397,MATCH("Observed n-year rate @ valn date:",Équivalences!$C$2:$C$397,0), langue)</f>
        <v>Taux n-années observé à date d'évaluation</v>
      </c>
      <c r="B9" s="200"/>
      <c r="C9" s="203">
        <f>Derivation!AO10*100</f>
        <v>1.0000000000000009</v>
      </c>
      <c r="D9" s="203">
        <f>Derivation!AP10*100</f>
        <v>1.0000000000000029</v>
      </c>
      <c r="E9" s="203">
        <f>Derivation!AQ10*100</f>
        <v>1.0999999999999928</v>
      </c>
      <c r="F9" s="203">
        <f>Derivation!AR10*100</f>
        <v>1.1999999999999922</v>
      </c>
      <c r="G9" s="203">
        <f>Derivation!AS10*100</f>
        <v>1.2999999999999905</v>
      </c>
      <c r="H9" s="203">
        <f>Derivation!AT10*100</f>
        <v>1.3999999999999948</v>
      </c>
      <c r="I9" s="203">
        <f>Derivation!AU10*100</f>
        <v>1.499999999999994</v>
      </c>
      <c r="J9" s="203">
        <f>Derivation!AV10*100</f>
        <v>1.5999999999999945</v>
      </c>
      <c r="K9" s="203">
        <f>Derivation!AW10*100</f>
        <v>1.6999999999999942</v>
      </c>
      <c r="L9" s="203">
        <f>Derivation!AX10*100</f>
        <v>1.8000000000000034</v>
      </c>
      <c r="M9" s="203">
        <f>Derivation!AY10*100</f>
        <v>1.8500000000000005</v>
      </c>
      <c r="N9" s="203">
        <f>Derivation!AZ10*100</f>
        <v>1.8999999999999901</v>
      </c>
      <c r="O9" s="203">
        <f>Derivation!BA10*100</f>
        <v>1.9499999999999997</v>
      </c>
      <c r="P9" s="203">
        <f>Derivation!BB10*100</f>
        <v>2.0000000000000089</v>
      </c>
      <c r="Q9" s="203">
        <f>Derivation!BC10*100</f>
        <v>2.049999999999994</v>
      </c>
      <c r="R9" s="203">
        <f>Derivation!BD10*100</f>
        <v>2.1000000000000041</v>
      </c>
      <c r="S9" s="203">
        <f>Derivation!BE10*100</f>
        <v>2.1499999999999972</v>
      </c>
      <c r="T9" s="203">
        <f>Derivation!BF10*100</f>
        <v>2.1999999999999895</v>
      </c>
      <c r="U9" s="203">
        <f>Derivation!BG10*100</f>
        <v>2.2500000000000067</v>
      </c>
      <c r="V9" s="203">
        <f>Derivation!BH10*100</f>
        <v>2.2999999999999932</v>
      </c>
      <c r="W9" s="95"/>
      <c r="X9" s="95"/>
      <c r="Y9" s="95"/>
      <c r="Z9" s="95"/>
      <c r="AA9" s="123"/>
      <c r="AB9" s="124"/>
      <c r="AC9" s="125"/>
    </row>
    <row r="10" spans="1:36" ht="14.25" customHeight="1">
      <c r="A10" s="211" t="str">
        <f>INDEX(Équivalences!$C$2:$D$397,MATCH("Promulgated/Developed URR (Yr 60)",Équivalences!$C$2:$C$397,0), langue)</f>
        <v>les taux TRU (60 ans) promulgués/développés</v>
      </c>
      <c r="B10" s="208"/>
      <c r="C10" s="204">
        <f>ST_Med_input*100</f>
        <v>4</v>
      </c>
      <c r="D10" s="204">
        <f>'Input - Entrée de données'!D24*100</f>
        <v>4.3</v>
      </c>
      <c r="E10" s="204">
        <f>'Input - Entrée de données'!D25*100</f>
        <v>4.5999999999999996</v>
      </c>
      <c r="F10" s="204">
        <f>'Input - Entrée de données'!D26*100</f>
        <v>4.7</v>
      </c>
      <c r="G10" s="204">
        <f>'Input - Entrée de données'!D27*100</f>
        <v>4.8</v>
      </c>
      <c r="H10" s="204">
        <f>'Input - Entrée de données'!D28*100</f>
        <v>4.8500000000000005</v>
      </c>
      <c r="I10" s="204">
        <f>'Input - Entrée de données'!D29*100</f>
        <v>4.9000000000000004</v>
      </c>
      <c r="J10" s="204">
        <f>'Input - Entrée de données'!D30*100</f>
        <v>5</v>
      </c>
      <c r="K10" s="204">
        <f>'Input - Entrée de données'!D31*100</f>
        <v>5.0500000000000007</v>
      </c>
      <c r="L10" s="204">
        <f>'Input - Entrée de données'!D32*100</f>
        <v>5.0999999999999996</v>
      </c>
      <c r="M10" s="204">
        <f>'Input - Entrée de données'!D33*100</f>
        <v>5.12</v>
      </c>
      <c r="N10" s="204">
        <f>'Input - Entrée de données'!D34*100</f>
        <v>5.1400000000000006</v>
      </c>
      <c r="O10" s="204">
        <f>'Input - Entrée de données'!D35*100</f>
        <v>5.16</v>
      </c>
      <c r="P10" s="204">
        <f>'Input - Entrée de données'!D36*100</f>
        <v>5.18</v>
      </c>
      <c r="Q10" s="204">
        <f>'Input - Entrée de données'!D37*100</f>
        <v>5.2</v>
      </c>
      <c r="R10" s="204">
        <f>'Input - Entrée de données'!D38*100</f>
        <v>5.2200000000000006</v>
      </c>
      <c r="S10" s="204">
        <f>'Input - Entrée de données'!D39*100</f>
        <v>5.24</v>
      </c>
      <c r="T10" s="204">
        <f>'Input - Entrée de données'!D40*100</f>
        <v>5.26</v>
      </c>
      <c r="U10" s="204">
        <f>'Input - Entrée de données'!D41*100</f>
        <v>5.28</v>
      </c>
      <c r="V10" s="204">
        <f>LT_Med_input*100</f>
        <v>5.3</v>
      </c>
      <c r="W10" s="137"/>
      <c r="AE10" s="142"/>
      <c r="AF10" s="139">
        <v>10</v>
      </c>
      <c r="AG10" s="5">
        <v>61</v>
      </c>
      <c r="AI10" s="141">
        <v>10.4</v>
      </c>
      <c r="AJ10" s="142"/>
    </row>
    <row r="11" spans="1:36" ht="7.5" customHeight="1">
      <c r="A11" s="95"/>
      <c r="B11" s="199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123"/>
      <c r="AB11" s="124"/>
      <c r="AC11" s="125"/>
    </row>
    <row r="12" spans="1:36" ht="14.25" customHeight="1">
      <c r="A12" s="232" t="str">
        <f>INDEX(Équivalences!$C$2:$D$397,MATCH("Annual Effective Yields to Maturity",Équivalences!$C$2:$C$397,0), langue)</f>
        <v>Taux de rendement annuel effectif jusqu'à échéance des obligations</v>
      </c>
      <c r="B12" s="23"/>
      <c r="X12" s="127"/>
      <c r="Y12" s="95"/>
      <c r="Z12" s="127"/>
      <c r="AA12" s="123"/>
      <c r="AB12" s="124"/>
      <c r="AC12" s="125"/>
    </row>
    <row r="13" spans="1:36" ht="14.25" customHeight="1">
      <c r="A13" s="128" t="str">
        <f>INDEX(Équivalences!$C$2:$D$397,MATCH("Base Scenario and Projection Year",Équivalences!$C$2:$C$397,0), langue)</f>
        <v>Scénario de base et année de projection</v>
      </c>
    </row>
    <row r="14" spans="1:36" ht="7.5" customHeight="1">
      <c r="A14" s="128"/>
    </row>
    <row r="15" spans="1:36" ht="14.25" customHeight="1">
      <c r="A15" s="129" t="str">
        <f>INDEX(Équivalences!$C$2:$D$397,MATCH("Projection",Équivalences!$C$2:$C$397,0), langue)</f>
        <v>Année de projection</v>
      </c>
      <c r="B15" s="130"/>
      <c r="C15" s="205" t="str">
        <f>INDEX(Équivalences!$C$2:$D$397,MATCH("Gov Par Yield Curves (annualized)",Équivalences!$C$2:$C$397,0), langue)</f>
        <v>Courbes de rendement au pair des obligations du gouvernement. (annualisé)</v>
      </c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AE15" s="5" t="str">
        <f>INDEX(Équivalences!$C$2:$D$397,MATCH("(For Chart)",Équivalences!$C$2:$C$397,0), langue)</f>
        <v>(Pour Graph)</v>
      </c>
      <c r="AF15" s="131" t="str">
        <f>INDEX(Équivalences!$C$2:$D$397,MATCH("Oscillation",Équivalences!$C$2:$C$397,0), langue)</f>
        <v>Point</v>
      </c>
      <c r="AG15" s="131" t="str">
        <f>INDEX(Équivalences!$C$2:$D$397,MATCH("Row",Équivalences!$C$2:$C$397,0), langue)</f>
        <v>Ligne</v>
      </c>
      <c r="AI15" s="5" t="str">
        <f>INDEX(Équivalences!$C$2:$D$397,MATCH("(For Chart)",Équivalences!$C$2:$C$397,0), langue)</f>
        <v>(Pour Graph)</v>
      </c>
    </row>
    <row r="16" spans="1:36" s="119" customFormat="1" ht="12.75" customHeight="1">
      <c r="A16" s="132" t="str">
        <f>INDEX(Équivalences!$C$2:$D$397,MATCH("Yr (eoy)",Équivalences!$C$2:$C$397,0), langue)</f>
        <v>(fin de période)</v>
      </c>
      <c r="B16" s="130"/>
      <c r="C16" s="206" t="str">
        <f>INDEX(Équivalences!$C$2:$D$397,MATCH("1-yr",Équivalences!$C$2:$C$397,0), langue)</f>
        <v>1 an</v>
      </c>
      <c r="D16" s="206" t="str">
        <f>INDEX(Équivalences!$C$2:$D$397,MATCH("2-yr",Équivalences!$C$2:$C$397,0), langue)</f>
        <v>2 ans</v>
      </c>
      <c r="E16" s="206" t="str">
        <f>INDEX(Équivalences!$C$2:$D$397,MATCH("3-yr",Équivalences!$C$2:$C$397,0), langue)</f>
        <v>3 ans</v>
      </c>
      <c r="F16" s="206" t="str">
        <f>INDEX(Équivalences!$C$2:$D$397,MATCH("4-yr",Équivalences!$C$2:$C$397,0), langue)</f>
        <v>4 ans</v>
      </c>
      <c r="G16" s="206" t="str">
        <f>INDEX(Équivalences!$C$2:$D$397,MATCH("5-yr",Équivalences!$C$2:$C$397,0), langue)</f>
        <v>5 ans</v>
      </c>
      <c r="H16" s="206" t="str">
        <f>INDEX(Équivalences!$C$2:$D$397,MATCH("6-yr",Équivalences!$C$2:$C$397,0), langue)</f>
        <v>6 ans</v>
      </c>
      <c r="I16" s="206" t="str">
        <f>INDEX(Équivalences!$C$2:$D$397,MATCH("7-yr",Équivalences!$C$2:$C$397,0), langue)</f>
        <v>7 ans</v>
      </c>
      <c r="J16" s="206" t="str">
        <f>INDEX(Équivalences!$C$2:$D$397,MATCH("8-yr",Équivalences!$C$2:$C$397,0), langue)</f>
        <v>8 ans</v>
      </c>
      <c r="K16" s="206" t="str">
        <f>INDEX(Équivalences!$C$2:$D$397,MATCH("9-yr",Équivalences!$C$2:$C$397,0), langue)</f>
        <v>9 ans</v>
      </c>
      <c r="L16" s="206" t="str">
        <f>INDEX(Équivalences!$C$2:$D$397,MATCH("10-yr",Équivalences!$C$2:$C$397,0), langue)</f>
        <v>10 ans</v>
      </c>
      <c r="M16" s="206" t="str">
        <f>INDEX(Équivalences!$C$2:$D$397,MATCH("11-yr",Équivalences!$C$2:$C$397,0), langue)</f>
        <v>11 ans</v>
      </c>
      <c r="N16" s="206" t="str">
        <f>INDEX(Équivalences!$C$2:$D$397,MATCH("12-yr",Équivalences!$C$2:$C$397,0), langue)</f>
        <v>12 ans</v>
      </c>
      <c r="O16" s="206" t="str">
        <f>INDEX(Équivalences!$C$2:$D$397,MATCH("13-yr",Équivalences!$C$2:$C$397,0), langue)</f>
        <v>13 ans</v>
      </c>
      <c r="P16" s="206" t="str">
        <f>INDEX(Équivalences!$C$2:$D$397,MATCH("14-yr",Équivalences!$C$2:$C$397,0), langue)</f>
        <v>14 ans</v>
      </c>
      <c r="Q16" s="206" t="str">
        <f>INDEX(Équivalences!$C$2:$D$397,MATCH("15-yr",Équivalences!$C$2:$C$397,0), langue)</f>
        <v>15 ans</v>
      </c>
      <c r="R16" s="206" t="str">
        <f>INDEX(Équivalences!$C$2:$D$397,MATCH("16-yr",Équivalences!$C$2:$C$397,0), langue)</f>
        <v>16 ans</v>
      </c>
      <c r="S16" s="206" t="str">
        <f>INDEX(Équivalences!$C$2:$D$397,MATCH("17-yr",Équivalences!$C$2:$C$397,0), langue)</f>
        <v>17 ans</v>
      </c>
      <c r="T16" s="206" t="str">
        <f>INDEX(Équivalences!$C$2:$D$397,MATCH("18-yr",Équivalences!$C$2:$C$397,0), langue)</f>
        <v>18 ans</v>
      </c>
      <c r="U16" s="206" t="str">
        <f>INDEX(Équivalences!$C$2:$D$397,MATCH("19-yr",Équivalences!$C$2:$C$397,0), langue)</f>
        <v>19 ans</v>
      </c>
      <c r="V16" s="207" t="str">
        <f>INDEX(Équivalences!$C$2:$D$397,MATCH("20-yr",Équivalences!$C$2:$C$397,0), langue)</f>
        <v>20 ans</v>
      </c>
      <c r="X16" s="5"/>
      <c r="Y16" s="5"/>
      <c r="Z16" s="5"/>
      <c r="AA16" s="5"/>
      <c r="AB16" s="5"/>
      <c r="AC16" s="5"/>
      <c r="AD16" s="5"/>
      <c r="AE16" s="5" t="str">
        <f>INDEX(Équivalences!$C$2:$D$397,MATCH("URR Low",Équivalences!$C$2:$C$397,0), langue)</f>
        <v>TRU bas</v>
      </c>
      <c r="AF16" s="133" t="str">
        <f>INDEX(Équivalences!$C$2:$D$397,MATCH("Point",Équivalences!$C$2:$C$397,0), langue)</f>
        <v>d'oscillation</v>
      </c>
      <c r="AG16" s="133" t="str">
        <f>INDEX(Équivalences!$C$2:$D$397,MATCH("Current",Équivalences!$C$2:$C$397,0), langue)</f>
        <v>Courante</v>
      </c>
      <c r="AI16" s="5" t="str">
        <f>INDEX(Équivalences!$C$2:$D$397,MATCH("URR High",Équivalences!$C$2:$C$397,0), langue)</f>
        <v>TRU haut</v>
      </c>
    </row>
    <row r="17" spans="1:36" ht="12.75" customHeight="1">
      <c r="A17" s="134">
        <v>0</v>
      </c>
      <c r="B17" s="135"/>
      <c r="C17" s="136">
        <f t="shared" ref="C17:V17" si="0">C$9</f>
        <v>1.0000000000000009</v>
      </c>
      <c r="D17" s="136">
        <f t="shared" si="0"/>
        <v>1.0000000000000029</v>
      </c>
      <c r="E17" s="136">
        <f t="shared" si="0"/>
        <v>1.0999999999999928</v>
      </c>
      <c r="F17" s="136">
        <f t="shared" si="0"/>
        <v>1.1999999999999922</v>
      </c>
      <c r="G17" s="136">
        <f t="shared" si="0"/>
        <v>1.2999999999999905</v>
      </c>
      <c r="H17" s="136">
        <f t="shared" si="0"/>
        <v>1.3999999999999948</v>
      </c>
      <c r="I17" s="136">
        <f t="shared" si="0"/>
        <v>1.499999999999994</v>
      </c>
      <c r="J17" s="136">
        <f t="shared" si="0"/>
        <v>1.5999999999999945</v>
      </c>
      <c r="K17" s="136">
        <f t="shared" si="0"/>
        <v>1.6999999999999942</v>
      </c>
      <c r="L17" s="136">
        <f t="shared" si="0"/>
        <v>1.8000000000000034</v>
      </c>
      <c r="M17" s="136">
        <f t="shared" si="0"/>
        <v>1.8500000000000005</v>
      </c>
      <c r="N17" s="136">
        <f t="shared" si="0"/>
        <v>1.8999999999999901</v>
      </c>
      <c r="O17" s="136">
        <f t="shared" si="0"/>
        <v>1.9499999999999997</v>
      </c>
      <c r="P17" s="136">
        <f t="shared" si="0"/>
        <v>2.0000000000000089</v>
      </c>
      <c r="Q17" s="136">
        <f t="shared" si="0"/>
        <v>2.049999999999994</v>
      </c>
      <c r="R17" s="136">
        <f t="shared" si="0"/>
        <v>2.1000000000000041</v>
      </c>
      <c r="S17" s="136">
        <f t="shared" si="0"/>
        <v>2.1499999999999972</v>
      </c>
      <c r="T17" s="136">
        <f t="shared" si="0"/>
        <v>2.1999999999999895</v>
      </c>
      <c r="U17" s="136">
        <f t="shared" si="0"/>
        <v>2.2500000000000067</v>
      </c>
      <c r="V17" s="136">
        <f t="shared" si="0"/>
        <v>2.2999999999999932</v>
      </c>
      <c r="W17" s="137"/>
      <c r="AE17" s="138">
        <f>AA5*100</f>
        <v>0</v>
      </c>
      <c r="AF17" s="139">
        <v>0</v>
      </c>
      <c r="AG17" s="140">
        <v>1</v>
      </c>
      <c r="AI17" s="141">
        <f>AC5*100</f>
        <v>10.4</v>
      </c>
      <c r="AJ17" s="142"/>
    </row>
    <row r="18" spans="1:36" ht="12.75" customHeight="1">
      <c r="A18" s="143">
        <f t="shared" ref="A18:A49" si="1">A17+1</f>
        <v>1</v>
      </c>
      <c r="B18" s="135"/>
      <c r="C18" s="144">
        <f>Derivation!AO11*100</f>
        <v>1.0000000000000009</v>
      </c>
      <c r="D18" s="144">
        <f>Derivation!AP11*100</f>
        <v>1.1508270324889605</v>
      </c>
      <c r="E18" s="144">
        <f>Derivation!AQ11*100</f>
        <v>1.2682525496590702</v>
      </c>
      <c r="F18" s="144">
        <f>Derivation!AR11*100</f>
        <v>1.3773815359039023</v>
      </c>
      <c r="G18" s="144">
        <f>Derivation!AS11*100</f>
        <v>1.4832359606393886</v>
      </c>
      <c r="H18" s="144">
        <f>Derivation!AT11*100</f>
        <v>1.5874907195213381</v>
      </c>
      <c r="I18" s="144">
        <f>Derivation!AU11*100</f>
        <v>1.6908644845632486</v>
      </c>
      <c r="J18" s="144">
        <f>Derivation!AV11*100</f>
        <v>1.7937174179617301</v>
      </c>
      <c r="K18" s="144">
        <f>Derivation!AW11*100</f>
        <v>1.8962504112665188</v>
      </c>
      <c r="L18" s="144">
        <f>Derivation!AX11*100</f>
        <v>1.9430571623304207</v>
      </c>
      <c r="M18" s="144">
        <f>Derivation!AY11*100</f>
        <v>1.9905762512660334</v>
      </c>
      <c r="N18" s="144">
        <f>Derivation!AZ11*100</f>
        <v>2.0386369256778702</v>
      </c>
      <c r="O18" s="144">
        <f>Derivation!BA11*100</f>
        <v>2.087120805314945</v>
      </c>
      <c r="P18" s="144">
        <f>Derivation!BB11*100</f>
        <v>2.1359432904506965</v>
      </c>
      <c r="Q18" s="144">
        <f>Derivation!BC11*100</f>
        <v>2.1850423672967554</v>
      </c>
      <c r="R18" s="144">
        <f>Derivation!BD11*100</f>
        <v>2.2343715904337347</v>
      </c>
      <c r="S18" s="144">
        <f>Derivation!BE11*100</f>
        <v>2.2838955304079116</v>
      </c>
      <c r="T18" s="144">
        <f>Derivation!BF11*100</f>
        <v>2.3335867320792123</v>
      </c>
      <c r="U18" s="144">
        <f>Derivation!BG11*100</f>
        <v>2.3834236294702937</v>
      </c>
      <c r="V18" s="144">
        <f>Derivation!BH11*100</f>
        <v>2.4223166185196154</v>
      </c>
      <c r="W18" s="137"/>
      <c r="AE18" s="138">
        <f>AE17</f>
        <v>0</v>
      </c>
      <c r="AF18" s="139">
        <v>0</v>
      </c>
      <c r="AG18" s="140">
        <v>2</v>
      </c>
      <c r="AI18" s="141">
        <f>AI17</f>
        <v>10.4</v>
      </c>
      <c r="AJ18" s="142"/>
    </row>
    <row r="19" spans="1:36" ht="12.75" customHeight="1">
      <c r="A19" s="143">
        <f t="shared" si="1"/>
        <v>2</v>
      </c>
      <c r="B19" s="135"/>
      <c r="C19" s="144">
        <f>Derivation!AO12*100</f>
        <v>1.3036202767562528</v>
      </c>
      <c r="D19" s="144">
        <f>Derivation!AP12*100</f>
        <v>1.4051442841938726</v>
      </c>
      <c r="E19" s="144">
        <f>Derivation!AQ12*100</f>
        <v>1.506814040406649</v>
      </c>
      <c r="F19" s="144">
        <f>Derivation!AR12*100</f>
        <v>1.6086322160285498</v>
      </c>
      <c r="G19" s="144">
        <f>Derivation!AS12*100</f>
        <v>1.7106017212794236</v>
      </c>
      <c r="H19" s="144">
        <f>Derivation!AT12*100</f>
        <v>1.8127257102247976</v>
      </c>
      <c r="I19" s="144">
        <f>Derivation!AU12*100</f>
        <v>1.9150075853025246</v>
      </c>
      <c r="J19" s="144">
        <f>Derivation!AV12*100</f>
        <v>2.0174510021030616</v>
      </c>
      <c r="K19" s="144">
        <f>Derivation!AW12*100</f>
        <v>2.0577074263645501</v>
      </c>
      <c r="L19" s="144">
        <f>Derivation!AX12*100</f>
        <v>2.1002048923845962</v>
      </c>
      <c r="M19" s="144">
        <f>Derivation!AY12*100</f>
        <v>2.1443499668000681</v>
      </c>
      <c r="N19" s="144">
        <f>Derivation!AZ12*100</f>
        <v>2.1897461983015032</v>
      </c>
      <c r="O19" s="144">
        <f>Derivation!BA12*100</f>
        <v>2.2361187889005407</v>
      </c>
      <c r="P19" s="144">
        <f>Derivation!BB12*100</f>
        <v>2.2832713828520248</v>
      </c>
      <c r="Q19" s="144">
        <f>Derivation!BC12*100</f>
        <v>2.3310600570512308</v>
      </c>
      <c r="R19" s="144">
        <f>Derivation!BD12*100</f>
        <v>2.3793770211876333</v>
      </c>
      <c r="S19" s="144">
        <f>Derivation!BE12*100</f>
        <v>2.4281400464848595</v>
      </c>
      <c r="T19" s="144">
        <f>Derivation!BF12*100</f>
        <v>2.4772854041689114</v>
      </c>
      <c r="U19" s="144">
        <f>Derivation!BG12*100</f>
        <v>2.5149586094163583</v>
      </c>
      <c r="V19" s="144">
        <f>Derivation!BH12*100</f>
        <v>2.5522109519223282</v>
      </c>
      <c r="W19" s="137"/>
      <c r="AE19" s="138">
        <f>AE18</f>
        <v>0</v>
      </c>
      <c r="AF19" s="139">
        <v>0</v>
      </c>
      <c r="AG19" s="140">
        <v>3</v>
      </c>
      <c r="AI19" s="141">
        <v>10.4</v>
      </c>
      <c r="AJ19" s="142"/>
    </row>
    <row r="20" spans="1:36" ht="12.75" customHeight="1">
      <c r="A20" s="143">
        <f t="shared" si="1"/>
        <v>3</v>
      </c>
      <c r="B20" s="135"/>
      <c r="C20" s="144">
        <f>Derivation!AO13*100</f>
        <v>1.5081994761798887</v>
      </c>
      <c r="D20" s="144">
        <f>Derivation!AP13*100</f>
        <v>1.6108201216337941</v>
      </c>
      <c r="E20" s="144">
        <f>Derivation!AQ13*100</f>
        <v>1.7136671806067261</v>
      </c>
      <c r="F20" s="144">
        <f>Derivation!AR13*100</f>
        <v>1.8167454099093447</v>
      </c>
      <c r="G20" s="144">
        <f>Derivation!AS13*100</f>
        <v>1.9200599516360977</v>
      </c>
      <c r="H20" s="144">
        <f>Derivation!AT13*100</f>
        <v>2.023616341782807</v>
      </c>
      <c r="I20" s="144">
        <f>Derivation!AU13*100</f>
        <v>2.1274205193444544</v>
      </c>
      <c r="J20" s="144">
        <f>Derivation!AV13*100</f>
        <v>2.1605457876315901</v>
      </c>
      <c r="K20" s="144">
        <f>Derivation!AW13*100</f>
        <v>2.1979029601608522</v>
      </c>
      <c r="L20" s="144">
        <f>Derivation!AX13*100</f>
        <v>2.2382532893335072</v>
      </c>
      <c r="M20" s="144">
        <f>Derivation!AY13*100</f>
        <v>2.2808065717913104</v>
      </c>
      <c r="N20" s="144">
        <f>Derivation!AZ13*100</f>
        <v>2.3250352379111039</v>
      </c>
      <c r="O20" s="144">
        <f>Derivation!BA13*100</f>
        <v>2.3705738398195524</v>
      </c>
      <c r="P20" s="144">
        <f>Derivation!BB13*100</f>
        <v>2.4171614266502424</v>
      </c>
      <c r="Q20" s="144">
        <f>Derivation!BC13*100</f>
        <v>2.4646068752551433</v>
      </c>
      <c r="R20" s="144">
        <f>Derivation!BD13*100</f>
        <v>2.5127671720611304</v>
      </c>
      <c r="S20" s="144">
        <f>Derivation!BE13*100</f>
        <v>2.5615333325886542</v>
      </c>
      <c r="T20" s="144">
        <f>Derivation!BF13*100</f>
        <v>2.5981951050433159</v>
      </c>
      <c r="U20" s="144">
        <f>Derivation!BG13*100</f>
        <v>2.6346058906928373</v>
      </c>
      <c r="V20" s="144">
        <f>Derivation!BH13*100</f>
        <v>2.6706914014748269</v>
      </c>
      <c r="W20" s="137"/>
      <c r="AE20" s="138">
        <f t="shared" ref="AE20:AE66" si="2">AE19</f>
        <v>0</v>
      </c>
      <c r="AF20" s="139">
        <v>0</v>
      </c>
      <c r="AG20" s="140">
        <v>4</v>
      </c>
      <c r="AI20" s="141">
        <v>10.4</v>
      </c>
      <c r="AJ20" s="142"/>
    </row>
    <row r="21" spans="1:36" ht="12.75" customHeight="1">
      <c r="A21" s="143">
        <f t="shared" si="1"/>
        <v>4</v>
      </c>
      <c r="B21" s="135"/>
      <c r="C21" s="144">
        <f>Derivation!AO14*100</f>
        <v>1.7152009173398708</v>
      </c>
      <c r="D21" s="144">
        <f>Derivation!AP14*100</f>
        <v>1.8191593710476985</v>
      </c>
      <c r="E21" s="144">
        <f>Derivation!AQ14*100</f>
        <v>1.9234319904368482</v>
      </c>
      <c r="F21" s="144">
        <f>Derivation!AR14*100</f>
        <v>2.0280262082974509</v>
      </c>
      <c r="G21" s="144">
        <f>Derivation!AS14*100</f>
        <v>2.1329500143534657</v>
      </c>
      <c r="H21" s="144">
        <f>Derivation!AT14*100</f>
        <v>2.2382119702479724</v>
      </c>
      <c r="I21" s="144">
        <f>Derivation!AU14*100</f>
        <v>2.2617893821110973</v>
      </c>
      <c r="J21" s="144">
        <f>Derivation!AV14*100</f>
        <v>2.2926879337698312</v>
      </c>
      <c r="K21" s="144">
        <f>Derivation!AW14*100</f>
        <v>2.3285151915068245</v>
      </c>
      <c r="L21" s="144">
        <f>Derivation!AX14*100</f>
        <v>2.3678318955149456</v>
      </c>
      <c r="M21" s="144">
        <f>Derivation!AY14*100</f>
        <v>2.4097206853911333</v>
      </c>
      <c r="N21" s="144">
        <f>Derivation!AZ14*100</f>
        <v>2.4535695737943977</v>
      </c>
      <c r="O21" s="144">
        <f>Derivation!BA14*100</f>
        <v>2.4989549751971469</v>
      </c>
      <c r="P21" s="144">
        <f>Derivation!BB14*100</f>
        <v>2.5455746883319437</v>
      </c>
      <c r="Q21" s="144">
        <f>Derivation!BC14*100</f>
        <v>2.5932075976180102</v>
      </c>
      <c r="R21" s="144">
        <f>Derivation!BD14*100</f>
        <v>2.6416884402189473</v>
      </c>
      <c r="S21" s="144">
        <f>Derivation!BE14*100</f>
        <v>2.6773382426168548</v>
      </c>
      <c r="T21" s="144">
        <f>Derivation!BF14*100</f>
        <v>2.7129249412782381</v>
      </c>
      <c r="U21" s="144">
        <f>Derivation!BG14*100</f>
        <v>2.7483418718289161</v>
      </c>
      <c r="V21" s="144">
        <f>Derivation!BH14*100</f>
        <v>2.783501027124784</v>
      </c>
      <c r="W21" s="137"/>
      <c r="AE21" s="138">
        <f t="shared" si="2"/>
        <v>0</v>
      </c>
      <c r="AF21" s="139">
        <v>0</v>
      </c>
      <c r="AG21" s="140">
        <v>5</v>
      </c>
      <c r="AI21" s="141">
        <v>10.4</v>
      </c>
      <c r="AJ21" s="142"/>
    </row>
    <row r="22" spans="1:36" ht="12.75" customHeight="1">
      <c r="A22" s="143">
        <f t="shared" si="1"/>
        <v>5</v>
      </c>
      <c r="B22" s="135"/>
      <c r="C22" s="144">
        <f>Derivation!AO15*100</f>
        <v>1.9251191488547186</v>
      </c>
      <c r="D22" s="144">
        <f>Derivation!AP15*100</f>
        <v>2.030674551072897</v>
      </c>
      <c r="E22" s="144">
        <f>Derivation!AQ15*100</f>
        <v>2.1366406398370397</v>
      </c>
      <c r="F22" s="144">
        <f>Derivation!AR15*100</f>
        <v>2.24302820688112</v>
      </c>
      <c r="G22" s="144">
        <f>Derivation!AS15*100</f>
        <v>2.3498488069860861</v>
      </c>
      <c r="H22" s="144">
        <f>Derivation!AT15*100</f>
        <v>2.360205514327459</v>
      </c>
      <c r="I22" s="144">
        <f>Derivation!AU15*100</f>
        <v>2.3829017681266031</v>
      </c>
      <c r="J22" s="144">
        <f>Derivation!AV15*100</f>
        <v>2.4133806549672037</v>
      </c>
      <c r="K22" s="144">
        <f>Derivation!AW15*100</f>
        <v>2.4491036422640811</v>
      </c>
      <c r="L22" s="144">
        <f>Derivation!AX15*100</f>
        <v>2.4885451507234873</v>
      </c>
      <c r="M22" s="144">
        <f>Derivation!AY15*100</f>
        <v>2.530733710198465</v>
      </c>
      <c r="N22" s="144">
        <f>Derivation!AZ15*100</f>
        <v>2.575021835636226</v>
      </c>
      <c r="O22" s="144">
        <f>Derivation!BA15*100</f>
        <v>2.6209618145876075</v>
      </c>
      <c r="P22" s="144">
        <f>Derivation!BB15*100</f>
        <v>2.6682345896487165</v>
      </c>
      <c r="Q22" s="144">
        <f>Derivation!BC15*100</f>
        <v>2.7166070189785598</v>
      </c>
      <c r="R22" s="144">
        <f>Derivation!BD15*100</f>
        <v>2.7512993972554578</v>
      </c>
      <c r="S22" s="144">
        <f>Derivation!BE15*100</f>
        <v>2.786131095923678</v>
      </c>
      <c r="T22" s="144">
        <f>Derivation!BF15*100</f>
        <v>2.8209570918565374</v>
      </c>
      <c r="U22" s="144">
        <f>Derivation!BG15*100</f>
        <v>2.8556599019122118</v>
      </c>
      <c r="V22" s="144">
        <f>Derivation!BH15*100</f>
        <v>2.8901429461784041</v>
      </c>
      <c r="W22" s="137"/>
      <c r="AE22" s="138">
        <f t="shared" si="2"/>
        <v>0</v>
      </c>
      <c r="AF22" s="139">
        <v>0</v>
      </c>
      <c r="AG22" s="140">
        <v>6</v>
      </c>
      <c r="AI22" s="141">
        <v>10.4</v>
      </c>
      <c r="AJ22" s="142"/>
    </row>
    <row r="23" spans="1:36" ht="12.75" customHeight="1">
      <c r="A23" s="143">
        <f t="shared" si="1"/>
        <v>6</v>
      </c>
      <c r="B23" s="135"/>
      <c r="C23" s="144">
        <f>Derivation!AO16*100</f>
        <v>2.1384872421008594</v>
      </c>
      <c r="D23" s="144">
        <f>Derivation!AP16*100</f>
        <v>2.2459206933847868</v>
      </c>
      <c r="E23" s="144">
        <f>Derivation!AQ16*100</f>
        <v>2.3538720634107375</v>
      </c>
      <c r="F23" s="144">
        <f>Derivation!AR16*100</f>
        <v>2.4623563056700477</v>
      </c>
      <c r="G23" s="144">
        <f>Derivation!AS16*100</f>
        <v>2.453556291734373</v>
      </c>
      <c r="H23" s="144">
        <f>Derivation!AT16*100</f>
        <v>2.4657651569420831</v>
      </c>
      <c r="I23" s="144">
        <f>Derivation!AU16*100</f>
        <v>2.4900786484787538</v>
      </c>
      <c r="J23" s="144">
        <f>Derivation!AV16*100</f>
        <v>2.5220329903436456</v>
      </c>
      <c r="K23" s="144">
        <f>Derivation!AW16*100</f>
        <v>2.5591447047709317</v>
      </c>
      <c r="L23" s="144">
        <f>Derivation!AX16*100</f>
        <v>2.5999229466069189</v>
      </c>
      <c r="M23" s="144">
        <f>Derivation!AY16*100</f>
        <v>2.6434193726702566</v>
      </c>
      <c r="N23" s="144">
        <f>Derivation!AZ16*100</f>
        <v>2.6890026208633708</v>
      </c>
      <c r="O23" s="144">
        <f>Derivation!BA16*100</f>
        <v>2.7362366821096886</v>
      </c>
      <c r="P23" s="144">
        <f>Derivation!BB16*100</f>
        <v>2.7848113091725644</v>
      </c>
      <c r="Q23" s="144">
        <f>Derivation!BC16*100</f>
        <v>2.8186925249286765</v>
      </c>
      <c r="R23" s="144">
        <f>Derivation!BD16*100</f>
        <v>2.8529210584124458</v>
      </c>
      <c r="S23" s="144">
        <f>Derivation!BE16*100</f>
        <v>2.8873080494241417</v>
      </c>
      <c r="T23" s="144">
        <f>Derivation!BF16*100</f>
        <v>2.9217032702214296</v>
      </c>
      <c r="U23" s="144">
        <f>Derivation!BG16*100</f>
        <v>2.9559852280378154</v>
      </c>
      <c r="V23" s="144">
        <f>Derivation!BH16*100</f>
        <v>2.9900542321086307</v>
      </c>
      <c r="W23" s="137"/>
      <c r="AE23" s="138">
        <f t="shared" si="2"/>
        <v>0</v>
      </c>
      <c r="AF23" s="139">
        <v>0</v>
      </c>
      <c r="AG23" s="140">
        <v>7</v>
      </c>
      <c r="AI23" s="141">
        <v>10.4</v>
      </c>
      <c r="AJ23" s="142"/>
    </row>
    <row r="24" spans="1:36" ht="12.75" customHeight="1">
      <c r="A24" s="143">
        <f t="shared" si="1"/>
        <v>7</v>
      </c>
      <c r="B24" s="135"/>
      <c r="C24" s="144">
        <f>Derivation!AO17*100</f>
        <v>2.3558851533972862</v>
      </c>
      <c r="D24" s="144">
        <f>Derivation!AP17*100</f>
        <v>2.4655043331412991</v>
      </c>
      <c r="E24" s="144">
        <f>Derivation!AQ17*100</f>
        <v>2.5757616495861808</v>
      </c>
      <c r="F24" s="144">
        <f>Derivation!AR17*100</f>
        <v>2.5373414812064174</v>
      </c>
      <c r="G24" s="144">
        <f>Derivation!AS17*100</f>
        <v>2.5362583542545947</v>
      </c>
      <c r="H24" s="144">
        <f>Derivation!AT17*100</f>
        <v>2.5539792192063304</v>
      </c>
      <c r="I24" s="144">
        <f>Derivation!AU17*100</f>
        <v>2.5825437676486986</v>
      </c>
      <c r="J24" s="144">
        <f>Derivation!AV17*100</f>
        <v>2.61796761162014</v>
      </c>
      <c r="K24" s="144">
        <f>Derivation!AW17*100</f>
        <v>2.6580368171376558</v>
      </c>
      <c r="L24" s="144">
        <f>Derivation!AX17*100</f>
        <v>2.7014239517929095</v>
      </c>
      <c r="M24" s="144">
        <f>Derivation!AY17*100</f>
        <v>2.7472857047235273</v>
      </c>
      <c r="N24" s="144">
        <f>Derivation!AZ17*100</f>
        <v>2.7950614746834943</v>
      </c>
      <c r="O24" s="144">
        <f>Derivation!BA17*100</f>
        <v>2.8443648239315626</v>
      </c>
      <c r="P24" s="144">
        <f>Derivation!BB17*100</f>
        <v>2.877731578779898</v>
      </c>
      <c r="Q24" s="144">
        <f>Derivation!BC17*100</f>
        <v>2.911639954824675</v>
      </c>
      <c r="R24" s="144">
        <f>Derivation!BD17*100</f>
        <v>2.9458543376327926</v>
      </c>
      <c r="S24" s="144">
        <f>Derivation!BE17*100</f>
        <v>2.980190840427249</v>
      </c>
      <c r="T24" s="144">
        <f>Derivation!BF17*100</f>
        <v>3.0145032260179265</v>
      </c>
      <c r="U24" s="144">
        <f>Derivation!BG17*100</f>
        <v>3.0486732653972779</v>
      </c>
      <c r="V24" s="144">
        <f>Derivation!BH17*100</f>
        <v>3.0826039867540502</v>
      </c>
      <c r="W24" s="137"/>
      <c r="AE24" s="138">
        <f t="shared" si="2"/>
        <v>0</v>
      </c>
      <c r="AF24" s="139">
        <v>0</v>
      </c>
      <c r="AG24" s="140">
        <v>8</v>
      </c>
      <c r="AI24" s="141">
        <v>10.4</v>
      </c>
      <c r="AJ24" s="142"/>
    </row>
    <row r="25" spans="1:36" ht="12.75" customHeight="1">
      <c r="A25" s="143">
        <f t="shared" si="1"/>
        <v>8</v>
      </c>
      <c r="B25" s="135"/>
      <c r="C25" s="144">
        <f>Derivation!AO18*100</f>
        <v>2.5779494399155887</v>
      </c>
      <c r="D25" s="144">
        <f>Derivation!AP18*100</f>
        <v>2.6900940184023425</v>
      </c>
      <c r="E25" s="144">
        <f>Derivation!AQ18*100</f>
        <v>2.6010320434918324</v>
      </c>
      <c r="F25" s="144">
        <f>Derivation!AR18*100</f>
        <v>2.5843314111712532</v>
      </c>
      <c r="G25" s="144">
        <f>Derivation!AS18*100</f>
        <v>2.5967475943127005</v>
      </c>
      <c r="H25" s="144">
        <f>Derivation!AT18*100</f>
        <v>2.6238460625546254</v>
      </c>
      <c r="I25" s="144">
        <f>Derivation!AU18*100</f>
        <v>2.6594381408131258</v>
      </c>
      <c r="J25" s="144">
        <f>Derivation!AV18*100</f>
        <v>2.7004306145852404</v>
      </c>
      <c r="K25" s="144">
        <f>Derivation!AW18*100</f>
        <v>2.7451070823991555</v>
      </c>
      <c r="L25" s="144">
        <f>Derivation!AX18*100</f>
        <v>2.7924399993659539</v>
      </c>
      <c r="M25" s="144">
        <f>Derivation!AY18*100</f>
        <v>2.8417778072276478</v>
      </c>
      <c r="N25" s="144">
        <f>Derivation!AZ18*100</f>
        <v>2.8926884390987326</v>
      </c>
      <c r="O25" s="144">
        <f>Derivation!BA18*100</f>
        <v>2.9260833526384942</v>
      </c>
      <c r="P25" s="144">
        <f>Derivation!BB18*100</f>
        <v>2.9601619902643463</v>
      </c>
      <c r="Q25" s="144">
        <f>Derivation!BC18*100</f>
        <v>2.9946461602208907</v>
      </c>
      <c r="R25" s="144">
        <f>Derivation!BD18*100</f>
        <v>3.0293231050322644</v>
      </c>
      <c r="S25" s="144">
        <f>Derivation!BE18*100</f>
        <v>3.0640265679542917</v>
      </c>
      <c r="T25" s="144">
        <f>Derivation!BF18*100</f>
        <v>3.0986241571991431</v>
      </c>
      <c r="U25" s="144">
        <f>Derivation!BG18*100</f>
        <v>3.1330086965278148</v>
      </c>
      <c r="V25" s="144">
        <f>Derivation!BH18*100</f>
        <v>3.167092171835082</v>
      </c>
      <c r="W25" s="137"/>
      <c r="AE25" s="138">
        <f t="shared" si="2"/>
        <v>0</v>
      </c>
      <c r="AF25" s="139">
        <v>0</v>
      </c>
      <c r="AG25" s="140">
        <v>9</v>
      </c>
      <c r="AI25" s="141">
        <v>10.4</v>
      </c>
      <c r="AJ25" s="142"/>
    </row>
    <row r="26" spans="1:36" ht="12.75" customHeight="1">
      <c r="A26" s="134">
        <f t="shared" si="1"/>
        <v>9</v>
      </c>
      <c r="B26" s="135"/>
      <c r="C26" s="145">
        <f>Derivation!AO19*100</f>
        <v>2.8053846837175875</v>
      </c>
      <c r="D26" s="145">
        <f>Derivation!AP19*100</f>
        <v>2.6130387452364707</v>
      </c>
      <c r="E26" s="145">
        <f>Derivation!AQ19*100</f>
        <v>2.5865716499587457</v>
      </c>
      <c r="F26" s="145">
        <f>Derivation!AR19*100</f>
        <v>2.6017588404208589</v>
      </c>
      <c r="G26" s="145">
        <f>Derivation!AS19*100</f>
        <v>2.6337605037644871</v>
      </c>
      <c r="H26" s="145">
        <f>Derivation!AT19*100</f>
        <v>2.6743011617911323</v>
      </c>
      <c r="I26" s="145">
        <f>Derivation!AU19*100</f>
        <v>2.7198381898913557</v>
      </c>
      <c r="J26" s="145">
        <f>Derivation!AV19*100</f>
        <v>2.7686039522718016</v>
      </c>
      <c r="K26" s="145">
        <f>Derivation!AW19*100</f>
        <v>2.8196198520855065</v>
      </c>
      <c r="L26" s="145">
        <f>Derivation!AX19*100</f>
        <v>2.87230195618563</v>
      </c>
      <c r="M26" s="145">
        <f>Derivation!AY19*100</f>
        <v>2.9262817380634503</v>
      </c>
      <c r="N26" s="145">
        <f>Derivation!AZ19*100</f>
        <v>2.9606515333157826</v>
      </c>
      <c r="O26" s="145">
        <f>Derivation!BA19*100</f>
        <v>2.9957201934786974</v>
      </c>
      <c r="P26" s="145">
        <f>Derivation!BB19*100</f>
        <v>3.0311880130257483</v>
      </c>
      <c r="Q26" s="145">
        <f>Derivation!BC19*100</f>
        <v>3.0668306672974901</v>
      </c>
      <c r="R26" s="145">
        <f>Derivation!BD19*100</f>
        <v>3.102475984941877</v>
      </c>
      <c r="S26" s="145">
        <f>Derivation!BE19*100</f>
        <v>3.1379889016062932</v>
      </c>
      <c r="T26" s="145">
        <f>Derivation!BF19*100</f>
        <v>3.173261424233266</v>
      </c>
      <c r="U26" s="145">
        <f>Derivation!BG19*100</f>
        <v>3.2082057657824943</v>
      </c>
      <c r="V26" s="145">
        <f>Derivation!BH19*100</f>
        <v>3.2427495438475855</v>
      </c>
      <c r="W26" s="137"/>
      <c r="AE26" s="138">
        <f t="shared" si="2"/>
        <v>0</v>
      </c>
      <c r="AF26" s="139">
        <v>0</v>
      </c>
      <c r="AG26" s="140">
        <v>10</v>
      </c>
      <c r="AI26" s="141">
        <v>10.4</v>
      </c>
      <c r="AJ26" s="142"/>
    </row>
    <row r="27" spans="1:36" ht="12.75" customHeight="1">
      <c r="A27" s="143">
        <f t="shared" si="1"/>
        <v>10</v>
      </c>
      <c r="B27" s="135"/>
      <c r="C27" s="144">
        <f>Derivation!AO20*100</f>
        <v>2.4160456410928384</v>
      </c>
      <c r="D27" s="144">
        <f>Derivation!AP20*100</f>
        <v>2.4731212009528254</v>
      </c>
      <c r="E27" s="144">
        <f>Derivation!AQ20*100</f>
        <v>2.5304719848620452</v>
      </c>
      <c r="F27" s="144">
        <f>Derivation!AR20*100</f>
        <v>2.588105315156163</v>
      </c>
      <c r="G27" s="144">
        <f>Derivation!AS20*100</f>
        <v>2.6460288120804969</v>
      </c>
      <c r="H27" s="144">
        <f>Derivation!AT20*100</f>
        <v>2.7042504027879257</v>
      </c>
      <c r="I27" s="144">
        <f>Derivation!AU20*100</f>
        <v>2.7627783306456819</v>
      </c>
      <c r="J27" s="144">
        <f>Derivation!AV20*100</f>
        <v>2.821621164857703</v>
      </c>
      <c r="K27" s="144">
        <f>Derivation!AW20*100</f>
        <v>2.8807878104065954</v>
      </c>
      <c r="L27" s="144">
        <f>Derivation!AX20*100</f>
        <v>2.9402875183206914</v>
      </c>
      <c r="M27" s="144">
        <f>Derivation!AY20*100</f>
        <v>2.9772514638312302</v>
      </c>
      <c r="N27" s="144">
        <f>Derivation!AZ20*100</f>
        <v>3.0146581526013279</v>
      </c>
      <c r="O27" s="144">
        <f>Derivation!BA20*100</f>
        <v>3.0522455126755821</v>
      </c>
      <c r="P27" s="144">
        <f>Derivation!BB20*100</f>
        <v>3.0898213771553822</v>
      </c>
      <c r="Q27" s="144">
        <f>Derivation!BC20*100</f>
        <v>3.1272405150716969</v>
      </c>
      <c r="R27" s="144">
        <f>Derivation!BD20*100</f>
        <v>3.1643902603469409</v>
      </c>
      <c r="S27" s="144">
        <f>Derivation!BE20*100</f>
        <v>3.2011812100002093</v>
      </c>
      <c r="T27" s="144">
        <f>Derivation!BF20*100</f>
        <v>3.2375410261173694</v>
      </c>
      <c r="U27" s="144">
        <f>Derivation!BG20*100</f>
        <v>3.2734102011208002</v>
      </c>
      <c r="V27" s="144">
        <f>Derivation!BH20*100</f>
        <v>3.3087391006713487</v>
      </c>
      <c r="W27" s="137"/>
      <c r="AE27" s="138">
        <f t="shared" si="2"/>
        <v>0</v>
      </c>
      <c r="AF27" s="139">
        <v>0</v>
      </c>
      <c r="AG27" s="140">
        <v>11</v>
      </c>
      <c r="AI27" s="141">
        <v>10.4</v>
      </c>
      <c r="AJ27" s="142"/>
    </row>
    <row r="28" spans="1:36" ht="12.75" customHeight="1">
      <c r="A28" s="143">
        <f t="shared" si="1"/>
        <v>11</v>
      </c>
      <c r="B28" s="135"/>
      <c r="C28" s="144">
        <f>Derivation!AO21*100</f>
        <v>2.5316417094921411</v>
      </c>
      <c r="D28" s="144">
        <f>Derivation!AP21*100</f>
        <v>2.5899006066297905</v>
      </c>
      <c r="E28" s="144">
        <f>Derivation!AQ21*100</f>
        <v>2.6484779554315909</v>
      </c>
      <c r="F28" s="144">
        <f>Derivation!AR21*100</f>
        <v>2.7073826002017261</v>
      </c>
      <c r="G28" s="144">
        <f>Derivation!AS21*100</f>
        <v>2.7666237484445579</v>
      </c>
      <c r="H28" s="144">
        <f>Derivation!AT21*100</f>
        <v>2.8262109826792741</v>
      </c>
      <c r="I28" s="144">
        <f>Derivation!AU21*100</f>
        <v>2.8861542726966425</v>
      </c>
      <c r="J28" s="144">
        <f>Derivation!AV21*100</f>
        <v>2.9464639882669506</v>
      </c>
      <c r="K28" s="144">
        <f>Derivation!AW21*100</f>
        <v>3.0071509123121505</v>
      </c>
      <c r="L28" s="144">
        <f>Derivation!AX21*100</f>
        <v>3.0426642779223507</v>
      </c>
      <c r="M28" s="144">
        <f>Derivation!AY21*100</f>
        <v>3.079071491738202</v>
      </c>
      <c r="N28" s="144">
        <f>Derivation!AZ21*100</f>
        <v>3.1159785911591174</v>
      </c>
      <c r="O28" s="144">
        <f>Derivation!BA21*100</f>
        <v>3.1531071574444631</v>
      </c>
      <c r="P28" s="144">
        <f>Derivation!BB21*100</f>
        <v>3.1902534487949685</v>
      </c>
      <c r="Q28" s="144">
        <f>Derivation!BC21*100</f>
        <v>3.2272638432005021</v>
      </c>
      <c r="R28" s="144">
        <f>Derivation!BD21*100</f>
        <v>3.2640194772238824</v>
      </c>
      <c r="S28" s="144">
        <f>Derivation!BE21*100</f>
        <v>3.3004263048308884</v>
      </c>
      <c r="T28" s="144">
        <f>Derivation!BF21*100</f>
        <v>3.3364084738769271</v>
      </c>
      <c r="U28" s="144">
        <f>Derivation!BG21*100</f>
        <v>3.3719038006870159</v>
      </c>
      <c r="V28" s="144">
        <f>Derivation!BH21*100</f>
        <v>3.406860609688267</v>
      </c>
      <c r="W28" s="137"/>
      <c r="AE28" s="138">
        <f t="shared" si="2"/>
        <v>0</v>
      </c>
      <c r="AF28" s="139">
        <v>1</v>
      </c>
      <c r="AG28" s="140">
        <v>12</v>
      </c>
      <c r="AI28" s="141">
        <v>10.4</v>
      </c>
      <c r="AJ28" s="142"/>
    </row>
    <row r="29" spans="1:36" ht="12.75" customHeight="1">
      <c r="A29" s="143">
        <f t="shared" si="1"/>
        <v>12</v>
      </c>
      <c r="B29" s="135"/>
      <c r="C29" s="144">
        <f>Derivation!AO22*100</f>
        <v>2.6497031916242735</v>
      </c>
      <c r="D29" s="144">
        <f>Derivation!AP22*100</f>
        <v>2.7092633072102723</v>
      </c>
      <c r="E29" s="144">
        <f>Derivation!AQ22*100</f>
        <v>2.769189778628621</v>
      </c>
      <c r="F29" s="144">
        <f>Derivation!AR22*100</f>
        <v>2.8294932151732857</v>
      </c>
      <c r="G29" s="144">
        <f>Derivation!AS22*100</f>
        <v>2.8901846675356802</v>
      </c>
      <c r="H29" s="144">
        <f>Derivation!AT22*100</f>
        <v>2.9512756432154252</v>
      </c>
      <c r="I29" s="144">
        <f>Derivation!AU22*100</f>
        <v>3.0127781225505439</v>
      </c>
      <c r="J29" s="144">
        <f>Derivation!AV22*100</f>
        <v>3.0747045753903754</v>
      </c>
      <c r="K29" s="144">
        <f>Derivation!AW22*100</f>
        <v>3.1082081533377717</v>
      </c>
      <c r="L29" s="144">
        <f>Derivation!AX22*100</f>
        <v>3.1432592229058218</v>
      </c>
      <c r="M29" s="144">
        <f>Derivation!AY22*100</f>
        <v>3.1792529553701216</v>
      </c>
      <c r="N29" s="144">
        <f>Derivation!AZ22*100</f>
        <v>3.2157795815723222</v>
      </c>
      <c r="O29" s="144">
        <f>Derivation!BA22*100</f>
        <v>3.2525498722491961</v>
      </c>
      <c r="P29" s="144">
        <f>Derivation!BB22*100</f>
        <v>3.2893524790106468</v>
      </c>
      <c r="Q29" s="144">
        <f>Derivation!BC22*100</f>
        <v>3.3260283085229339</v>
      </c>
      <c r="R29" s="144">
        <f>Derivation!BD22*100</f>
        <v>3.3624544969270374</v>
      </c>
      <c r="S29" s="144">
        <f>Derivation!BE22*100</f>
        <v>3.3985340407760565</v>
      </c>
      <c r="T29" s="144">
        <f>Derivation!BF22*100</f>
        <v>3.4341888894000974</v>
      </c>
      <c r="U29" s="144">
        <f>Derivation!BG22*100</f>
        <v>3.4693552257313778</v>
      </c>
      <c r="V29" s="144">
        <f>Derivation!BH22*100</f>
        <v>3.5039801706436684</v>
      </c>
      <c r="W29" s="137"/>
      <c r="AE29" s="138">
        <f t="shared" si="2"/>
        <v>0</v>
      </c>
      <c r="AF29" s="139">
        <v>2</v>
      </c>
      <c r="AG29" s="140">
        <v>13</v>
      </c>
      <c r="AI29" s="141">
        <v>10.4</v>
      </c>
      <c r="AJ29" s="142"/>
    </row>
    <row r="30" spans="1:36" ht="12.75" customHeight="1">
      <c r="A30" s="143">
        <f t="shared" si="1"/>
        <v>13</v>
      </c>
      <c r="B30" s="135"/>
      <c r="C30" s="144">
        <f>Derivation!AO23*100</f>
        <v>2.7704735200270423</v>
      </c>
      <c r="D30" s="144">
        <f>Derivation!AP23*100</f>
        <v>2.8314640733308551</v>
      </c>
      <c r="E30" s="144">
        <f>Derivation!AQ23*100</f>
        <v>2.8928742440969679</v>
      </c>
      <c r="F30" s="144">
        <f>Derivation!AR23*100</f>
        <v>2.9547166916270435</v>
      </c>
      <c r="G30" s="144">
        <f>Derivation!AS23*100</f>
        <v>3.017004610666151</v>
      </c>
      <c r="H30" s="144">
        <f>Derivation!AT23*100</f>
        <v>3.0797517514016692</v>
      </c>
      <c r="I30" s="144">
        <f>Derivation!AU23*100</f>
        <v>3.1429724403305612</v>
      </c>
      <c r="J30" s="144">
        <f>Derivation!AV23*100</f>
        <v>3.1736785894809811</v>
      </c>
      <c r="K30" s="144">
        <f>Derivation!AW23*100</f>
        <v>3.2069064609041344</v>
      </c>
      <c r="L30" s="144">
        <f>Derivation!AX23*100</f>
        <v>3.2417022937320223</v>
      </c>
      <c r="M30" s="144">
        <f>Derivation!AY23*100</f>
        <v>3.2774514842924583</v>
      </c>
      <c r="N30" s="144">
        <f>Derivation!AZ23*100</f>
        <v>3.3137379424370956</v>
      </c>
      <c r="O30" s="144">
        <f>Derivation!BA23*100</f>
        <v>3.3502682123394889</v>
      </c>
      <c r="P30" s="144">
        <f>Derivation!BB23*100</f>
        <v>3.3868280531455528</v>
      </c>
      <c r="Q30" s="144">
        <f>Derivation!BC23*100</f>
        <v>3.4232563653208503</v>
      </c>
      <c r="R30" s="144">
        <f>Derivation!BD23*100</f>
        <v>3.4594288896406415</v>
      </c>
      <c r="S30" s="144">
        <f>Derivation!BE23*100</f>
        <v>3.4952476623993469</v>
      </c>
      <c r="T30" s="144">
        <f>Derivation!BF23*100</f>
        <v>3.5306339920409053</v>
      </c>
      <c r="U30" s="144">
        <f>Derivation!BG23*100</f>
        <v>3.5655236615970241</v>
      </c>
      <c r="V30" s="144">
        <f>Derivation!BH23*100</f>
        <v>3.5998635785775766</v>
      </c>
      <c r="W30" s="137"/>
      <c r="AE30" s="138">
        <f t="shared" si="2"/>
        <v>0</v>
      </c>
      <c r="AF30" s="139">
        <v>3</v>
      </c>
      <c r="AG30" s="140">
        <v>14</v>
      </c>
      <c r="AI30" s="141">
        <v>10.4</v>
      </c>
      <c r="AJ30" s="142"/>
    </row>
    <row r="31" spans="1:36" ht="12.75" customHeight="1">
      <c r="A31" s="143">
        <f t="shared" si="1"/>
        <v>14</v>
      </c>
      <c r="B31" s="135"/>
      <c r="C31" s="144">
        <f>Derivation!AO24*100</f>
        <v>2.8942198273211863</v>
      </c>
      <c r="D31" s="144">
        <f>Derivation!AP24*100</f>
        <v>2.9567829840230422</v>
      </c>
      <c r="E31" s="144">
        <f>Derivation!AQ24*100</f>
        <v>3.019825170331786</v>
      </c>
      <c r="F31" s="144">
        <f>Derivation!AR24*100</f>
        <v>3.0833614313902555</v>
      </c>
      <c r="G31" s="144">
        <f>Derivation!AS24*100</f>
        <v>3.1474074613533314</v>
      </c>
      <c r="H31" s="144">
        <f>Derivation!AT24*100</f>
        <v>3.211979629257705</v>
      </c>
      <c r="I31" s="144">
        <f>Derivation!AU24*100</f>
        <v>3.2387404232963912</v>
      </c>
      <c r="J31" s="144">
        <f>Derivation!AV24*100</f>
        <v>3.2695278288908551</v>
      </c>
      <c r="K31" s="144">
        <f>Derivation!AW24*100</f>
        <v>3.3027850424935403</v>
      </c>
      <c r="L31" s="144">
        <f>Derivation!AX24*100</f>
        <v>3.337568861988442</v>
      </c>
      <c r="M31" s="144">
        <f>Derivation!AY24*100</f>
        <v>3.3732717247136113</v>
      </c>
      <c r="N31" s="144">
        <f>Derivation!AZ24*100</f>
        <v>3.4094824475586929</v>
      </c>
      <c r="O31" s="144">
        <f>Derivation!BA24*100</f>
        <v>3.4459111325249849</v>
      </c>
      <c r="P31" s="144">
        <f>Derivation!BB24*100</f>
        <v>3.4823462144269053</v>
      </c>
      <c r="Q31" s="144">
        <f>Derivation!BC24*100</f>
        <v>3.5186286768446271</v>
      </c>
      <c r="R31" s="144">
        <f>Derivation!BD24*100</f>
        <v>3.5546359371097251</v>
      </c>
      <c r="S31" s="144">
        <f>Derivation!BE24*100</f>
        <v>3.590271424632109</v>
      </c>
      <c r="T31" s="144">
        <f>Derivation!BF24*100</f>
        <v>3.6254576411758013</v>
      </c>
      <c r="U31" s="144">
        <f>Derivation!BG24*100</f>
        <v>3.6601314214056186</v>
      </c>
      <c r="V31" s="144">
        <f>Derivation!BH24*100</f>
        <v>3.6942406239120449</v>
      </c>
      <c r="W31" s="137"/>
      <c r="AE31" s="138">
        <f t="shared" si="2"/>
        <v>0</v>
      </c>
      <c r="AF31" s="139">
        <v>4</v>
      </c>
      <c r="AG31" s="140">
        <v>15</v>
      </c>
      <c r="AI31" s="141">
        <v>10.4</v>
      </c>
      <c r="AJ31" s="142"/>
    </row>
    <row r="32" spans="1:36" ht="12.75" customHeight="1">
      <c r="A32" s="143">
        <f t="shared" si="1"/>
        <v>15</v>
      </c>
      <c r="B32" s="135"/>
      <c r="C32" s="144">
        <f>Derivation!AO25*100</f>
        <v>3.021236321539055</v>
      </c>
      <c r="D32" s="144">
        <f>Derivation!AP25*100</f>
        <v>3.085529064047758</v>
      </c>
      <c r="E32" s="144">
        <f>Derivation!AQ25*100</f>
        <v>3.1503673267908954</v>
      </c>
      <c r="F32" s="144">
        <f>Derivation!AR25*100</f>
        <v>3.2157689383201999</v>
      </c>
      <c r="G32" s="144">
        <f>Derivation!AS25*100</f>
        <v>3.2817525139204058</v>
      </c>
      <c r="H32" s="144">
        <f>Derivation!AT25*100</f>
        <v>3.302817943748356</v>
      </c>
      <c r="I32" s="144">
        <f>Derivation!AU25*100</f>
        <v>3.3303448354329648</v>
      </c>
      <c r="J32" s="144">
        <f>Derivation!AV25*100</f>
        <v>3.3616741500736236</v>
      </c>
      <c r="K32" s="144">
        <f>Derivation!AW25*100</f>
        <v>3.3953175911512026</v>
      </c>
      <c r="L32" s="144">
        <f>Derivation!AX25*100</f>
        <v>3.4303736333630437</v>
      </c>
      <c r="M32" s="144">
        <f>Derivation!AY25*100</f>
        <v>3.4662615635722633</v>
      </c>
      <c r="N32" s="144">
        <f>Derivation!AZ25*100</f>
        <v>3.5025883160366256</v>
      </c>
      <c r="O32" s="144">
        <f>Derivation!BA25*100</f>
        <v>3.539076700198756</v>
      </c>
      <c r="P32" s="144">
        <f>Derivation!BB25*100</f>
        <v>3.575524365660844</v>
      </c>
      <c r="Q32" s="144">
        <f>Derivation!BC25*100</f>
        <v>3.6117791779776671</v>
      </c>
      <c r="R32" s="144">
        <f>Derivation!BD25*100</f>
        <v>3.6477238335733748</v>
      </c>
      <c r="S32" s="144">
        <f>Derivation!BE25*100</f>
        <v>3.6832659131538033</v>
      </c>
      <c r="T32" s="144">
        <f>Derivation!BF25*100</f>
        <v>3.7183312602647649</v>
      </c>
      <c r="U32" s="144">
        <f>Derivation!BG25*100</f>
        <v>3.7528594604727044</v>
      </c>
      <c r="V32" s="144">
        <f>Derivation!BH25*100</f>
        <v>3.78680068586928</v>
      </c>
      <c r="W32" s="137"/>
      <c r="AE32" s="138">
        <f t="shared" si="2"/>
        <v>0</v>
      </c>
      <c r="AF32" s="139">
        <v>5</v>
      </c>
      <c r="AG32" s="140">
        <v>16</v>
      </c>
      <c r="AI32" s="141">
        <v>10.4</v>
      </c>
      <c r="AJ32" s="142"/>
    </row>
    <row r="33" spans="1:36" ht="12.75" customHeight="1">
      <c r="A33" s="143">
        <f t="shared" si="1"/>
        <v>16</v>
      </c>
      <c r="B33" s="135"/>
      <c r="C33" s="144">
        <f>Derivation!AO26*100</f>
        <v>3.1518482162143924</v>
      </c>
      <c r="D33" s="144">
        <f>Derivation!AP26*100</f>
        <v>3.2180445287627202</v>
      </c>
      <c r="E33" s="144">
        <f>Derivation!AQ26*100</f>
        <v>3.2848610216368721</v>
      </c>
      <c r="F33" s="144">
        <f>Derivation!AR26*100</f>
        <v>3.3523187797156844</v>
      </c>
      <c r="G33" s="144">
        <f>Derivation!AS26*100</f>
        <v>3.3648531404566735</v>
      </c>
      <c r="H33" s="144">
        <f>Derivation!AT26*100</f>
        <v>3.388040744847455</v>
      </c>
      <c r="I33" s="144">
        <f>Derivation!AU26*100</f>
        <v>3.4170525529768438</v>
      </c>
      <c r="J33" s="144">
        <f>Derivation!AV26*100</f>
        <v>3.4494604296459208</v>
      </c>
      <c r="K33" s="144">
        <f>Derivation!AW26*100</f>
        <v>3.4839054281753037</v>
      </c>
      <c r="L33" s="144">
        <f>Derivation!AX26*100</f>
        <v>3.5195641622490128</v>
      </c>
      <c r="M33" s="144">
        <f>Derivation!AY26*100</f>
        <v>3.5559059513468347</v>
      </c>
      <c r="N33" s="144">
        <f>Derivation!AZ26*100</f>
        <v>3.5925712932642178</v>
      </c>
      <c r="O33" s="144">
        <f>Derivation!BA26*100</f>
        <v>3.629306394633776</v>
      </c>
      <c r="P33" s="144">
        <f>Derivation!BB26*100</f>
        <v>3.665925754549495</v>
      </c>
      <c r="Q33" s="144">
        <f>Derivation!BC26*100</f>
        <v>3.7022897201264158</v>
      </c>
      <c r="R33" s="144">
        <f>Derivation!BD26*100</f>
        <v>3.7382904683132843</v>
      </c>
      <c r="S33" s="144">
        <f>Derivation!BE26*100</f>
        <v>3.773842946258215</v>
      </c>
      <c r="T33" s="144">
        <f>Derivation!BF26*100</f>
        <v>3.8088788425511089</v>
      </c>
      <c r="U33" s="144">
        <f>Derivation!BG26*100</f>
        <v>3.8433424726667531</v>
      </c>
      <c r="V33" s="144">
        <f>Derivation!BH26*100</f>
        <v>3.8771879082035179</v>
      </c>
      <c r="W33" s="137"/>
      <c r="AE33" s="138">
        <f t="shared" si="2"/>
        <v>0</v>
      </c>
      <c r="AF33" s="139">
        <v>6</v>
      </c>
      <c r="AG33" s="140">
        <v>17</v>
      </c>
      <c r="AI33" s="141">
        <v>10.4</v>
      </c>
      <c r="AJ33" s="142"/>
    </row>
    <row r="34" spans="1:36" ht="12.75" customHeight="1">
      <c r="A34" s="143">
        <f t="shared" si="1"/>
        <v>17</v>
      </c>
      <c r="B34" s="135"/>
      <c r="C34" s="144">
        <f>Derivation!AO27*100</f>
        <v>3.2864163277350098</v>
      </c>
      <c r="D34" s="144">
        <f>Derivation!AP27*100</f>
        <v>3.3547097613452226</v>
      </c>
      <c r="E34" s="144">
        <f>Derivation!AQ27*100</f>
        <v>3.4237074937290739</v>
      </c>
      <c r="F34" s="144">
        <f>Derivation!AR27*100</f>
        <v>3.4227014831877907</v>
      </c>
      <c r="G34" s="144">
        <f>Derivation!AS27*100</f>
        <v>3.4402217501484063</v>
      </c>
      <c r="H34" s="144">
        <f>Derivation!AT27*100</f>
        <v>3.4667047284369845</v>
      </c>
      <c r="I34" s="144">
        <f>Derivation!AU27*100</f>
        <v>3.4980349426469659</v>
      </c>
      <c r="J34" s="144">
        <f>Derivation!AV27*100</f>
        <v>3.5321430806206413</v>
      </c>
      <c r="K34" s="144">
        <f>Derivation!AW27*100</f>
        <v>3.567870399849121</v>
      </c>
      <c r="L34" s="144">
        <f>Derivation!AX27*100</f>
        <v>3.6045140716704767</v>
      </c>
      <c r="M34" s="144">
        <f>Derivation!AY27*100</f>
        <v>3.641620397024107</v>
      </c>
      <c r="N34" s="144">
        <f>Derivation!AZ27*100</f>
        <v>3.6788813808833734</v>
      </c>
      <c r="O34" s="144">
        <f>Derivation!BA27*100</f>
        <v>3.7160790386053044</v>
      </c>
      <c r="P34" s="144">
        <f>Derivation!BB27*100</f>
        <v>3.7530535791558259</v>
      </c>
      <c r="Q34" s="144">
        <f>Derivation!BC27*100</f>
        <v>3.789684327158771</v>
      </c>
      <c r="R34" s="144">
        <f>Derivation!BD27*100</f>
        <v>3.8258778123150372</v>
      </c>
      <c r="S34" s="144">
        <f>Derivation!BE27*100</f>
        <v>3.8615600754421573</v>
      </c>
      <c r="T34" s="144">
        <f>Derivation!BF27*100</f>
        <v>3.8966715512084629</v>
      </c>
      <c r="U34" s="144">
        <f>Derivation!BG27*100</f>
        <v>3.9311635777539564</v>
      </c>
      <c r="V34" s="144">
        <f>Derivation!BH27*100</f>
        <v>3.9649959630567224</v>
      </c>
      <c r="W34" s="137"/>
      <c r="AE34" s="138">
        <f t="shared" si="2"/>
        <v>0</v>
      </c>
      <c r="AF34" s="139">
        <v>7</v>
      </c>
      <c r="AG34" s="140">
        <v>18</v>
      </c>
      <c r="AI34" s="141">
        <v>10.4</v>
      </c>
      <c r="AJ34" s="142"/>
    </row>
    <row r="35" spans="1:36" ht="12.75" customHeight="1">
      <c r="A35" s="143">
        <f t="shared" si="1"/>
        <v>18</v>
      </c>
      <c r="B35" s="135"/>
      <c r="C35" s="144">
        <f>Derivation!AO28*100</f>
        <v>3.4253424789471949</v>
      </c>
      <c r="D35" s="144">
        <f>Derivation!AP28*100</f>
        <v>3.4959491770728981</v>
      </c>
      <c r="E35" s="144">
        <f>Derivation!AQ28*100</f>
        <v>3.4713202885031476</v>
      </c>
      <c r="F35" s="144">
        <f>Derivation!AR28*100</f>
        <v>3.4820716892360686</v>
      </c>
      <c r="G35" s="144">
        <f>Derivation!AS28*100</f>
        <v>3.5066199909702402</v>
      </c>
      <c r="H35" s="144">
        <f>Derivation!AT28*100</f>
        <v>3.5377510838134083</v>
      </c>
      <c r="I35" s="144">
        <f>Derivation!AU28*100</f>
        <v>3.5723601861609304</v>
      </c>
      <c r="J35" s="144">
        <f>Derivation!AV28*100</f>
        <v>3.6088846308073714</v>
      </c>
      <c r="K35" s="144">
        <f>Derivation!AW28*100</f>
        <v>3.6464477106076294</v>
      </c>
      <c r="L35" s="144">
        <f>Derivation!AX28*100</f>
        <v>3.6845161238192916</v>
      </c>
      <c r="M35" s="144">
        <f>Derivation!AY28*100</f>
        <v>3.7227442529742008</v>
      </c>
      <c r="N35" s="144">
        <f>Derivation!AZ28*100</f>
        <v>3.7608963124102406</v>
      </c>
      <c r="O35" s="144">
        <f>Derivation!BA28*100</f>
        <v>3.7988044426136627</v>
      </c>
      <c r="P35" s="144">
        <f>Derivation!BB28*100</f>
        <v>3.8363447806821251</v>
      </c>
      <c r="Q35" s="144">
        <f>Derivation!BC28*100</f>
        <v>3.8734231189237676</v>
      </c>
      <c r="R35" s="144">
        <f>Derivation!BD28*100</f>
        <v>3.9099659568254883</v>
      </c>
      <c r="S35" s="144">
        <f>Derivation!BE28*100</f>
        <v>3.9459147252048412</v>
      </c>
      <c r="T35" s="144">
        <f>Derivation!BF28*100</f>
        <v>3.9812219482742282</v>
      </c>
      <c r="U35" s="144">
        <f>Derivation!BG28*100</f>
        <v>4.0158486288330826</v>
      </c>
      <c r="V35" s="144">
        <f>Derivation!BH28*100</f>
        <v>4.049762427545998</v>
      </c>
      <c r="W35" s="137"/>
      <c r="AE35" s="138">
        <f t="shared" si="2"/>
        <v>0</v>
      </c>
      <c r="AF35" s="139">
        <v>8</v>
      </c>
      <c r="AG35" s="140">
        <v>19</v>
      </c>
      <c r="AI35" s="141">
        <v>10.4</v>
      </c>
      <c r="AJ35" s="142"/>
    </row>
    <row r="36" spans="1:36" ht="12.75" customHeight="1">
      <c r="A36" s="134">
        <f t="shared" si="1"/>
        <v>19</v>
      </c>
      <c r="B36" s="135"/>
      <c r="C36" s="145">
        <f>Derivation!AO29*100</f>
        <v>3.5690758818323709</v>
      </c>
      <c r="D36" s="145">
        <f>Derivation!AP29*100</f>
        <v>3.4955299192597891</v>
      </c>
      <c r="E36" s="145">
        <f>Derivation!AQ29*100</f>
        <v>3.5023245138980328</v>
      </c>
      <c r="F36" s="145">
        <f>Derivation!AR29*100</f>
        <v>3.5287574422480246</v>
      </c>
      <c r="G36" s="145">
        <f>Derivation!AS29*100</f>
        <v>3.5626710263685273</v>
      </c>
      <c r="H36" s="145">
        <f>Derivation!AT29*100</f>
        <v>3.5999987585160689</v>
      </c>
      <c r="I36" s="145">
        <f>Derivation!AU29*100</f>
        <v>3.6389862860131088</v>
      </c>
      <c r="J36" s="145">
        <f>Derivation!AV29*100</f>
        <v>3.6787466919714338</v>
      </c>
      <c r="K36" s="145">
        <f>Derivation!AW29*100</f>
        <v>3.7187789534365816</v>
      </c>
      <c r="L36" s="145">
        <f>Derivation!AX29*100</f>
        <v>3.758775353094518</v>
      </c>
      <c r="M36" s="145">
        <f>Derivation!AY29*100</f>
        <v>3.7985339651326742</v>
      </c>
      <c r="N36" s="145">
        <f>Derivation!AZ29*100</f>
        <v>3.8379149219451625</v>
      </c>
      <c r="O36" s="145">
        <f>Derivation!BA29*100</f>
        <v>3.8768168871591007</v>
      </c>
      <c r="P36" s="145">
        <f>Derivation!BB29*100</f>
        <v>3.9151636314431935</v>
      </c>
      <c r="Q36" s="145">
        <f>Derivation!BC29*100</f>
        <v>3.9528959959442043</v>
      </c>
      <c r="R36" s="145">
        <f>Derivation!BD29*100</f>
        <v>3.9899668856091997</v>
      </c>
      <c r="S36" s="145">
        <f>Derivation!BE29*100</f>
        <v>4.0263380440161614</v>
      </c>
      <c r="T36" s="145">
        <f>Derivation!BF29*100</f>
        <v>4.0619779160157936</v>
      </c>
      <c r="U36" s="145">
        <f>Derivation!BG29*100</f>
        <v>4.0968601964221367</v>
      </c>
      <c r="V36" s="145">
        <f>Derivation!BH29*100</f>
        <v>4.1309628235566578</v>
      </c>
      <c r="W36" s="137"/>
      <c r="AE36" s="138">
        <f t="shared" si="2"/>
        <v>0</v>
      </c>
      <c r="AF36" s="139">
        <v>9</v>
      </c>
      <c r="AG36" s="140">
        <v>20</v>
      </c>
      <c r="AI36" s="141">
        <v>10.4</v>
      </c>
      <c r="AJ36" s="142"/>
    </row>
    <row r="37" spans="1:36" ht="12.75" customHeight="1">
      <c r="A37" s="143">
        <f t="shared" si="1"/>
        <v>20</v>
      </c>
      <c r="B37" s="135"/>
      <c r="C37" s="144">
        <f>Derivation!AO30*100</f>
        <v>3.4194690752409551</v>
      </c>
      <c r="D37" s="144">
        <f>Derivation!AP30*100</f>
        <v>3.4672111287024037</v>
      </c>
      <c r="E37" s="144">
        <f>Derivation!AQ30*100</f>
        <v>3.5143710092682459</v>
      </c>
      <c r="F37" s="144">
        <f>Derivation!AR30*100</f>
        <v>3.5609266813965852</v>
      </c>
      <c r="G37" s="144">
        <f>Derivation!AS30*100</f>
        <v>3.6068565734967084</v>
      </c>
      <c r="H37" s="144">
        <f>Derivation!AT30*100</f>
        <v>3.6521396229102443</v>
      </c>
      <c r="I37" s="144">
        <f>Derivation!AU30*100</f>
        <v>3.6967553219903282</v>
      </c>
      <c r="J37" s="144">
        <f>Derivation!AV30*100</f>
        <v>3.7406837650967204</v>
      </c>
      <c r="K37" s="144">
        <f>Derivation!AW30*100</f>
        <v>3.7839056963024746</v>
      </c>
      <c r="L37" s="144">
        <f>Derivation!AX30*100</f>
        <v>3.8264025575866709</v>
      </c>
      <c r="M37" s="144">
        <f>Derivation!AY30*100</f>
        <v>3.8681565372653859</v>
      </c>
      <c r="N37" s="144">
        <f>Derivation!AZ30*100</f>
        <v>3.9091506183941971</v>
      </c>
      <c r="O37" s="144">
        <f>Derivation!BA30*100</f>
        <v>3.9493686268560575</v>
      </c>
      <c r="P37" s="144">
        <f>Derivation!BB30*100</f>
        <v>3.9887952788302776</v>
      </c>
      <c r="Q37" s="144">
        <f>Derivation!BC30*100</f>
        <v>4.0274162273246681</v>
      </c>
      <c r="R37" s="144">
        <f>Derivation!BD30*100</f>
        <v>4.0652181074377136</v>
      </c>
      <c r="S37" s="144">
        <f>Derivation!BE30*100</f>
        <v>4.1021885800093498</v>
      </c>
      <c r="T37" s="144">
        <f>Derivation!BF30*100</f>
        <v>4.1383163733096797</v>
      </c>
      <c r="U37" s="144">
        <f>Derivation!BG30*100</f>
        <v>4.1735913224125492</v>
      </c>
      <c r="V37" s="144">
        <f>Derivation!BH30*100</f>
        <v>4.208004405899417</v>
      </c>
      <c r="W37" s="147"/>
      <c r="AE37" s="138">
        <f t="shared" si="2"/>
        <v>0</v>
      </c>
      <c r="AF37" s="139">
        <v>10</v>
      </c>
      <c r="AG37" s="140">
        <v>21</v>
      </c>
      <c r="AI37" s="141">
        <v>10.4</v>
      </c>
      <c r="AJ37" s="142"/>
    </row>
    <row r="38" spans="1:36" ht="12.75" customHeight="1">
      <c r="A38" s="143">
        <f t="shared" si="1"/>
        <v>21</v>
      </c>
      <c r="B38" s="135"/>
      <c r="C38" s="212">
        <f t="shared" ref="C38:L47" si="3">(($A38-$A$37)*C$57+($A$57-$A38)*C$37)/($A$57-$A$37)</f>
        <v>3.4397876576075213</v>
      </c>
      <c r="D38" s="212">
        <f t="shared" si="3"/>
        <v>3.4963587391978193</v>
      </c>
      <c r="E38" s="212">
        <f t="shared" si="3"/>
        <v>3.5523680239438575</v>
      </c>
      <c r="F38" s="212">
        <f t="shared" si="3"/>
        <v>3.6007942475477051</v>
      </c>
      <c r="G38" s="212">
        <f t="shared" si="3"/>
        <v>3.648616593424324</v>
      </c>
      <c r="H38" s="212">
        <f t="shared" si="3"/>
        <v>3.6940647361083863</v>
      </c>
      <c r="I38" s="212">
        <f t="shared" si="3"/>
        <v>3.7388688857206667</v>
      </c>
      <c r="J38" s="212">
        <f t="shared" si="3"/>
        <v>3.7847598333183354</v>
      </c>
      <c r="K38" s="212">
        <f t="shared" si="3"/>
        <v>3.8282189969318887</v>
      </c>
      <c r="L38" s="212">
        <f t="shared" si="3"/>
        <v>3.8709784680711374</v>
      </c>
      <c r="M38" s="212">
        <f t="shared" ref="M38:V47" si="4">(($A38-$A$37)*M$57+($A$57-$A38)*M$37)/($A$57-$A$37)</f>
        <v>3.9119710584610976</v>
      </c>
      <c r="N38" s="212">
        <f t="shared" si="4"/>
        <v>3.9522303467504001</v>
      </c>
      <c r="O38" s="212">
        <f t="shared" si="4"/>
        <v>3.9917407249160952</v>
      </c>
      <c r="P38" s="212">
        <f t="shared" si="4"/>
        <v>4.030487444071218</v>
      </c>
      <c r="Q38" s="212">
        <f t="shared" si="4"/>
        <v>4.0684566593683051</v>
      </c>
      <c r="R38" s="212">
        <f t="shared" si="4"/>
        <v>4.1056354736773937</v>
      </c>
      <c r="S38" s="212">
        <f t="shared" si="4"/>
        <v>4.1420119797090225</v>
      </c>
      <c r="T38" s="212">
        <f t="shared" si="4"/>
        <v>4.1775753002438405</v>
      </c>
      <c r="U38" s="212">
        <f t="shared" si="4"/>
        <v>4.2123156261281096</v>
      </c>
      <c r="V38" s="212">
        <f t="shared" si="4"/>
        <v>4.2462242516929374</v>
      </c>
      <c r="W38" s="147"/>
      <c r="AE38" s="138">
        <f t="shared" si="2"/>
        <v>0</v>
      </c>
      <c r="AF38" s="139">
        <v>11</v>
      </c>
      <c r="AG38" s="140">
        <v>22</v>
      </c>
      <c r="AI38" s="141">
        <v>10.4</v>
      </c>
      <c r="AJ38" s="142"/>
    </row>
    <row r="39" spans="1:36" ht="12.75" customHeight="1">
      <c r="A39" s="143">
        <f t="shared" si="1"/>
        <v>22</v>
      </c>
      <c r="B39" s="135"/>
      <c r="C39" s="212">
        <f t="shared" si="3"/>
        <v>3.4601062399740883</v>
      </c>
      <c r="D39" s="212">
        <f t="shared" si="3"/>
        <v>3.5255063496932353</v>
      </c>
      <c r="E39" s="212">
        <f t="shared" si="3"/>
        <v>3.5903650386194683</v>
      </c>
      <c r="F39" s="212">
        <f t="shared" si="3"/>
        <v>3.6406618136988245</v>
      </c>
      <c r="G39" s="212">
        <f t="shared" si="3"/>
        <v>3.6903766133519382</v>
      </c>
      <c r="H39" s="212">
        <f t="shared" si="3"/>
        <v>3.7359898493065264</v>
      </c>
      <c r="I39" s="212">
        <f t="shared" si="3"/>
        <v>3.7809824494510051</v>
      </c>
      <c r="J39" s="212">
        <f t="shared" si="3"/>
        <v>3.82883590153995</v>
      </c>
      <c r="K39" s="212">
        <f t="shared" si="3"/>
        <v>3.872532297561301</v>
      </c>
      <c r="L39" s="212">
        <f t="shared" si="3"/>
        <v>3.9155543785556035</v>
      </c>
      <c r="M39" s="212">
        <f t="shared" si="4"/>
        <v>3.9557855796568093</v>
      </c>
      <c r="N39" s="212">
        <f t="shared" si="4"/>
        <v>3.9953100751066031</v>
      </c>
      <c r="O39" s="212">
        <f t="shared" si="4"/>
        <v>4.0341128229761329</v>
      </c>
      <c r="P39" s="212">
        <f t="shared" si="4"/>
        <v>4.0721796093121583</v>
      </c>
      <c r="Q39" s="212">
        <f t="shared" si="4"/>
        <v>4.1094970914119404</v>
      </c>
      <c r="R39" s="212">
        <f t="shared" si="4"/>
        <v>4.1460528399170737</v>
      </c>
      <c r="S39" s="212">
        <f t="shared" si="4"/>
        <v>4.1818353794086951</v>
      </c>
      <c r="T39" s="212">
        <f t="shared" si="4"/>
        <v>4.2168342271780022</v>
      </c>
      <c r="U39" s="212">
        <f t="shared" si="4"/>
        <v>4.251039929843671</v>
      </c>
      <c r="V39" s="212">
        <f t="shared" si="4"/>
        <v>4.2844440974864577</v>
      </c>
      <c r="W39" s="147"/>
      <c r="AE39" s="138">
        <f t="shared" si="2"/>
        <v>0</v>
      </c>
      <c r="AF39" s="139">
        <v>12</v>
      </c>
      <c r="AG39" s="140">
        <v>23</v>
      </c>
      <c r="AI39" s="141">
        <v>10.4</v>
      </c>
      <c r="AJ39" s="142"/>
    </row>
    <row r="40" spans="1:36" ht="12.75" customHeight="1">
      <c r="A40" s="143">
        <f t="shared" si="1"/>
        <v>23</v>
      </c>
      <c r="B40" s="135"/>
      <c r="C40" s="212">
        <f t="shared" si="3"/>
        <v>3.4804248223406544</v>
      </c>
      <c r="D40" s="212">
        <f t="shared" si="3"/>
        <v>3.5546539601886513</v>
      </c>
      <c r="E40" s="212">
        <f t="shared" si="3"/>
        <v>3.62836205329508</v>
      </c>
      <c r="F40" s="212">
        <f t="shared" si="3"/>
        <v>3.6805293798499443</v>
      </c>
      <c r="G40" s="212">
        <f t="shared" si="3"/>
        <v>3.7321366332795542</v>
      </c>
      <c r="H40" s="212">
        <f t="shared" si="3"/>
        <v>3.7779149625046684</v>
      </c>
      <c r="I40" s="212">
        <f t="shared" si="3"/>
        <v>3.8230960131813441</v>
      </c>
      <c r="J40" s="212">
        <f t="shared" si="3"/>
        <v>3.8729119697615646</v>
      </c>
      <c r="K40" s="212">
        <f t="shared" si="3"/>
        <v>3.9168455981907151</v>
      </c>
      <c r="L40" s="212">
        <f t="shared" si="3"/>
        <v>3.9601302890400705</v>
      </c>
      <c r="M40" s="212">
        <f t="shared" si="4"/>
        <v>3.9996001008525206</v>
      </c>
      <c r="N40" s="212">
        <f t="shared" si="4"/>
        <v>4.038389803462807</v>
      </c>
      <c r="O40" s="212">
        <f t="shared" si="4"/>
        <v>4.0764849210361707</v>
      </c>
      <c r="P40" s="212">
        <f t="shared" si="4"/>
        <v>4.1138717745530986</v>
      </c>
      <c r="Q40" s="212">
        <f t="shared" si="4"/>
        <v>4.1505375234555775</v>
      </c>
      <c r="R40" s="212">
        <f t="shared" si="4"/>
        <v>4.1864702061567538</v>
      </c>
      <c r="S40" s="212">
        <f t="shared" si="4"/>
        <v>4.2216587791083686</v>
      </c>
      <c r="T40" s="212">
        <f t="shared" si="4"/>
        <v>4.2560931541121629</v>
      </c>
      <c r="U40" s="212">
        <f t="shared" si="4"/>
        <v>4.2897642335592314</v>
      </c>
      <c r="V40" s="212">
        <f t="shared" si="4"/>
        <v>4.322663943279978</v>
      </c>
      <c r="W40" s="147"/>
      <c r="AE40" s="138">
        <f t="shared" si="2"/>
        <v>0</v>
      </c>
      <c r="AF40" s="139">
        <v>13</v>
      </c>
      <c r="AG40" s="140">
        <v>24</v>
      </c>
      <c r="AI40" s="141">
        <v>10.4</v>
      </c>
      <c r="AJ40" s="142"/>
    </row>
    <row r="41" spans="1:36" ht="12.75" customHeight="1">
      <c r="A41" s="143">
        <f t="shared" si="1"/>
        <v>24</v>
      </c>
      <c r="B41" s="135"/>
      <c r="C41" s="212">
        <f t="shared" si="3"/>
        <v>3.5007434047072215</v>
      </c>
      <c r="D41" s="212">
        <f t="shared" si="3"/>
        <v>3.5838015706840674</v>
      </c>
      <c r="E41" s="212">
        <f t="shared" si="3"/>
        <v>3.6663590679706912</v>
      </c>
      <c r="F41" s="212">
        <f t="shared" si="3"/>
        <v>3.7203969460010633</v>
      </c>
      <c r="G41" s="212">
        <f t="shared" si="3"/>
        <v>3.7738966532071694</v>
      </c>
      <c r="H41" s="212">
        <f t="shared" si="3"/>
        <v>3.8198400757028095</v>
      </c>
      <c r="I41" s="212">
        <f t="shared" si="3"/>
        <v>3.8652095769116825</v>
      </c>
      <c r="J41" s="212">
        <f t="shared" si="3"/>
        <v>3.9169880379831796</v>
      </c>
      <c r="K41" s="212">
        <f t="shared" si="3"/>
        <v>3.9611588988201283</v>
      </c>
      <c r="L41" s="212">
        <f t="shared" si="3"/>
        <v>4.004706199524537</v>
      </c>
      <c r="M41" s="212">
        <f t="shared" si="4"/>
        <v>4.0434146220482319</v>
      </c>
      <c r="N41" s="212">
        <f t="shared" si="4"/>
        <v>4.0814695318190095</v>
      </c>
      <c r="O41" s="212">
        <f t="shared" si="4"/>
        <v>4.1188570190962093</v>
      </c>
      <c r="P41" s="212">
        <f t="shared" si="4"/>
        <v>4.155563939794038</v>
      </c>
      <c r="Q41" s="212">
        <f t="shared" si="4"/>
        <v>4.1915779554992145</v>
      </c>
      <c r="R41" s="212">
        <f t="shared" si="4"/>
        <v>4.2268875723964339</v>
      </c>
      <c r="S41" s="212">
        <f t="shared" si="4"/>
        <v>4.2614821788080404</v>
      </c>
      <c r="T41" s="212">
        <f t="shared" si="4"/>
        <v>4.2953520810463246</v>
      </c>
      <c r="U41" s="212">
        <f t="shared" si="4"/>
        <v>4.3284885372747919</v>
      </c>
      <c r="V41" s="212">
        <f t="shared" si="4"/>
        <v>4.3608837890734993</v>
      </c>
      <c r="W41" s="147"/>
      <c r="AE41" s="138">
        <f t="shared" si="2"/>
        <v>0</v>
      </c>
      <c r="AF41" s="139">
        <v>14</v>
      </c>
      <c r="AG41" s="140">
        <v>25</v>
      </c>
      <c r="AI41" s="141">
        <v>10.4</v>
      </c>
      <c r="AJ41" s="142"/>
    </row>
    <row r="42" spans="1:36" ht="12.75" customHeight="1">
      <c r="A42" s="143">
        <f t="shared" si="1"/>
        <v>25</v>
      </c>
      <c r="B42" s="135"/>
      <c r="C42" s="212">
        <f t="shared" si="3"/>
        <v>3.521061987073788</v>
      </c>
      <c r="D42" s="212">
        <f t="shared" si="3"/>
        <v>3.6129491811794834</v>
      </c>
      <c r="E42" s="212">
        <f t="shared" si="3"/>
        <v>3.7043560826463029</v>
      </c>
      <c r="F42" s="212">
        <f t="shared" si="3"/>
        <v>3.7602645121521832</v>
      </c>
      <c r="G42" s="212">
        <f t="shared" si="3"/>
        <v>3.8156566731347845</v>
      </c>
      <c r="H42" s="212">
        <f t="shared" si="3"/>
        <v>3.8617651889009514</v>
      </c>
      <c r="I42" s="212">
        <f t="shared" si="3"/>
        <v>3.9073231406420206</v>
      </c>
      <c r="J42" s="212">
        <f t="shared" si="3"/>
        <v>3.9610641062047947</v>
      </c>
      <c r="K42" s="212">
        <f t="shared" si="3"/>
        <v>4.0054721994495415</v>
      </c>
      <c r="L42" s="212">
        <f t="shared" si="3"/>
        <v>4.0492821100090035</v>
      </c>
      <c r="M42" s="212">
        <f t="shared" si="4"/>
        <v>4.0872291432439436</v>
      </c>
      <c r="N42" s="212">
        <f t="shared" si="4"/>
        <v>4.124549260175213</v>
      </c>
      <c r="O42" s="212">
        <f t="shared" si="4"/>
        <v>4.1612291171562479</v>
      </c>
      <c r="P42" s="212">
        <f t="shared" si="4"/>
        <v>4.1972561050349784</v>
      </c>
      <c r="Q42" s="212">
        <f t="shared" si="4"/>
        <v>4.2326183875428516</v>
      </c>
      <c r="R42" s="212">
        <f t="shared" si="4"/>
        <v>4.2673049386361139</v>
      </c>
      <c r="S42" s="212">
        <f t="shared" si="4"/>
        <v>4.3013055785077139</v>
      </c>
      <c r="T42" s="212">
        <f t="shared" si="4"/>
        <v>4.3346110079804863</v>
      </c>
      <c r="U42" s="212">
        <f t="shared" si="4"/>
        <v>4.3672128409903532</v>
      </c>
      <c r="V42" s="212">
        <f t="shared" si="4"/>
        <v>4.3991036348670196</v>
      </c>
      <c r="W42" s="147"/>
      <c r="AE42" s="138">
        <f t="shared" si="2"/>
        <v>0</v>
      </c>
      <c r="AF42" s="139">
        <v>15</v>
      </c>
      <c r="AG42" s="140">
        <v>26</v>
      </c>
      <c r="AI42" s="141">
        <v>10.4</v>
      </c>
      <c r="AJ42" s="142"/>
    </row>
    <row r="43" spans="1:36" ht="12.75" customHeight="1">
      <c r="A43" s="143">
        <f t="shared" si="1"/>
        <v>26</v>
      </c>
      <c r="B43" s="135"/>
      <c r="C43" s="212">
        <f t="shared" si="3"/>
        <v>3.5413805694403551</v>
      </c>
      <c r="D43" s="212">
        <f t="shared" si="3"/>
        <v>3.6420967916748994</v>
      </c>
      <c r="E43" s="212">
        <f t="shared" si="3"/>
        <v>3.7423530973219146</v>
      </c>
      <c r="F43" s="212">
        <f t="shared" si="3"/>
        <v>3.8001320783033021</v>
      </c>
      <c r="G43" s="212">
        <f t="shared" si="3"/>
        <v>3.8574166930624001</v>
      </c>
      <c r="H43" s="212">
        <f t="shared" si="3"/>
        <v>3.9036903020990925</v>
      </c>
      <c r="I43" s="212">
        <f t="shared" si="3"/>
        <v>3.9494367043723591</v>
      </c>
      <c r="J43" s="212">
        <f t="shared" si="3"/>
        <v>4.0051401744264092</v>
      </c>
      <c r="K43" s="212">
        <f t="shared" si="3"/>
        <v>4.0497855000789551</v>
      </c>
      <c r="L43" s="212">
        <f t="shared" si="3"/>
        <v>4.0938580204934691</v>
      </c>
      <c r="M43" s="212">
        <f t="shared" si="4"/>
        <v>4.1310436644396544</v>
      </c>
      <c r="N43" s="212">
        <f t="shared" si="4"/>
        <v>4.1676289885314164</v>
      </c>
      <c r="O43" s="212">
        <f t="shared" si="4"/>
        <v>4.2036012152162856</v>
      </c>
      <c r="P43" s="212">
        <f t="shared" si="4"/>
        <v>4.2389482702759187</v>
      </c>
      <c r="Q43" s="212">
        <f t="shared" si="4"/>
        <v>4.2736588195864877</v>
      </c>
      <c r="R43" s="212">
        <f t="shared" si="4"/>
        <v>4.307722304875794</v>
      </c>
      <c r="S43" s="212">
        <f t="shared" si="4"/>
        <v>4.3411289782073865</v>
      </c>
      <c r="T43" s="212">
        <f t="shared" si="4"/>
        <v>4.373869934914647</v>
      </c>
      <c r="U43" s="212">
        <f t="shared" si="4"/>
        <v>4.4059371447059137</v>
      </c>
      <c r="V43" s="212">
        <f t="shared" si="4"/>
        <v>4.4373234806605399</v>
      </c>
      <c r="W43" s="147"/>
      <c r="AE43" s="138">
        <f t="shared" si="2"/>
        <v>0</v>
      </c>
      <c r="AF43" s="139">
        <v>16</v>
      </c>
      <c r="AG43" s="140">
        <v>27</v>
      </c>
      <c r="AI43" s="141">
        <v>10.4</v>
      </c>
      <c r="AJ43" s="142"/>
    </row>
    <row r="44" spans="1:36" ht="12.75" customHeight="1">
      <c r="A44" s="143">
        <f t="shared" si="1"/>
        <v>27</v>
      </c>
      <c r="B44" s="135"/>
      <c r="C44" s="212">
        <f t="shared" si="3"/>
        <v>3.5616991518069212</v>
      </c>
      <c r="D44" s="212">
        <f t="shared" si="3"/>
        <v>3.671244402170315</v>
      </c>
      <c r="E44" s="212">
        <f t="shared" si="3"/>
        <v>3.7803501119975254</v>
      </c>
      <c r="F44" s="212">
        <f t="shared" si="3"/>
        <v>3.8399996444544215</v>
      </c>
      <c r="G44" s="212">
        <f t="shared" si="3"/>
        <v>3.8991767129900148</v>
      </c>
      <c r="H44" s="212">
        <f t="shared" si="3"/>
        <v>3.9456154152972345</v>
      </c>
      <c r="I44" s="212">
        <f t="shared" si="3"/>
        <v>3.991550268102698</v>
      </c>
      <c r="J44" s="212">
        <f t="shared" si="3"/>
        <v>4.0492162426480238</v>
      </c>
      <c r="K44" s="212">
        <f t="shared" si="3"/>
        <v>4.0940988007083687</v>
      </c>
      <c r="L44" s="212">
        <f t="shared" si="3"/>
        <v>4.1384339309779365</v>
      </c>
      <c r="M44" s="212">
        <f t="shared" si="4"/>
        <v>4.174858185635367</v>
      </c>
      <c r="N44" s="212">
        <f t="shared" si="4"/>
        <v>4.2107087168876189</v>
      </c>
      <c r="O44" s="212">
        <f t="shared" si="4"/>
        <v>4.2459733132763233</v>
      </c>
      <c r="P44" s="212">
        <f t="shared" si="4"/>
        <v>4.2806404355168599</v>
      </c>
      <c r="Q44" s="212">
        <f t="shared" si="4"/>
        <v>4.3146992516301239</v>
      </c>
      <c r="R44" s="212">
        <f t="shared" si="4"/>
        <v>4.3481396711154741</v>
      </c>
      <c r="S44" s="212">
        <f t="shared" si="4"/>
        <v>4.3809523779070592</v>
      </c>
      <c r="T44" s="212">
        <f t="shared" si="4"/>
        <v>4.4131288618488078</v>
      </c>
      <c r="U44" s="212">
        <f t="shared" si="4"/>
        <v>4.444661448421475</v>
      </c>
      <c r="V44" s="212">
        <f t="shared" si="4"/>
        <v>4.4755433264540603</v>
      </c>
      <c r="W44" s="147"/>
      <c r="AE44" s="138">
        <f t="shared" si="2"/>
        <v>0</v>
      </c>
      <c r="AF44" s="139">
        <v>17</v>
      </c>
      <c r="AG44" s="140">
        <v>28</v>
      </c>
      <c r="AI44" s="141">
        <v>10.4</v>
      </c>
      <c r="AJ44" s="142"/>
    </row>
    <row r="45" spans="1:36" ht="12.75" customHeight="1">
      <c r="A45" s="143">
        <f>A44+1</f>
        <v>28</v>
      </c>
      <c r="B45" s="135"/>
      <c r="C45" s="212">
        <f t="shared" si="3"/>
        <v>3.5820177341734878</v>
      </c>
      <c r="D45" s="212">
        <f t="shared" si="3"/>
        <v>3.7003920126657306</v>
      </c>
      <c r="E45" s="212">
        <f t="shared" si="3"/>
        <v>3.8183471266731375</v>
      </c>
      <c r="F45" s="212">
        <f t="shared" si="3"/>
        <v>3.8798672106055414</v>
      </c>
      <c r="G45" s="212">
        <f t="shared" si="3"/>
        <v>3.9409367329176304</v>
      </c>
      <c r="H45" s="212">
        <f t="shared" si="3"/>
        <v>3.9875405284953755</v>
      </c>
      <c r="I45" s="212">
        <f t="shared" si="3"/>
        <v>4.0336638318330369</v>
      </c>
      <c r="J45" s="212">
        <f t="shared" si="3"/>
        <v>4.0932923108696384</v>
      </c>
      <c r="K45" s="212">
        <f t="shared" si="3"/>
        <v>4.1384121013377824</v>
      </c>
      <c r="L45" s="212">
        <f t="shared" si="3"/>
        <v>4.1830098414624022</v>
      </c>
      <c r="M45" s="212">
        <f t="shared" si="4"/>
        <v>4.2186727068310779</v>
      </c>
      <c r="N45" s="212">
        <f t="shared" si="4"/>
        <v>4.2537884452438224</v>
      </c>
      <c r="O45" s="212">
        <f t="shared" si="4"/>
        <v>4.288345411336361</v>
      </c>
      <c r="P45" s="212">
        <f t="shared" si="4"/>
        <v>4.3223326007577993</v>
      </c>
      <c r="Q45" s="212">
        <f t="shared" si="4"/>
        <v>4.355739683673761</v>
      </c>
      <c r="R45" s="212">
        <f t="shared" si="4"/>
        <v>4.3885570373551541</v>
      </c>
      <c r="S45" s="212">
        <f t="shared" si="4"/>
        <v>4.4207757776067309</v>
      </c>
      <c r="T45" s="212">
        <f t="shared" si="4"/>
        <v>4.4523877887829695</v>
      </c>
      <c r="U45" s="212">
        <f t="shared" si="4"/>
        <v>4.4833857521370355</v>
      </c>
      <c r="V45" s="212">
        <f t="shared" si="4"/>
        <v>4.5137631722475806</v>
      </c>
      <c r="W45" s="147"/>
      <c r="AE45" s="138">
        <f t="shared" si="2"/>
        <v>0</v>
      </c>
      <c r="AF45" s="139">
        <v>18</v>
      </c>
      <c r="AG45" s="140">
        <v>29</v>
      </c>
      <c r="AI45" s="141">
        <v>10.4</v>
      </c>
      <c r="AJ45" s="142"/>
    </row>
    <row r="46" spans="1:36" ht="12.75" customHeight="1">
      <c r="A46" s="134">
        <f t="shared" si="1"/>
        <v>29</v>
      </c>
      <c r="B46" s="135"/>
      <c r="C46" s="213">
        <f t="shared" si="3"/>
        <v>3.6023363165400539</v>
      </c>
      <c r="D46" s="213">
        <f t="shared" si="3"/>
        <v>3.7295396231611462</v>
      </c>
      <c r="E46" s="213">
        <f t="shared" si="3"/>
        <v>3.8563441413487483</v>
      </c>
      <c r="F46" s="213">
        <f t="shared" si="3"/>
        <v>3.9197347767566613</v>
      </c>
      <c r="G46" s="213">
        <f t="shared" si="3"/>
        <v>3.9826967528452455</v>
      </c>
      <c r="H46" s="213">
        <f t="shared" si="3"/>
        <v>4.0294656416935171</v>
      </c>
      <c r="I46" s="213">
        <f t="shared" si="3"/>
        <v>4.0757773955633754</v>
      </c>
      <c r="J46" s="213">
        <f t="shared" si="3"/>
        <v>4.1373683790912539</v>
      </c>
      <c r="K46" s="213">
        <f t="shared" si="3"/>
        <v>4.1827254019671951</v>
      </c>
      <c r="L46" s="213">
        <f t="shared" si="3"/>
        <v>4.2275857519468687</v>
      </c>
      <c r="M46" s="213">
        <f t="shared" si="4"/>
        <v>4.2624872280267896</v>
      </c>
      <c r="N46" s="213">
        <f t="shared" si="4"/>
        <v>4.2968681736000249</v>
      </c>
      <c r="O46" s="213">
        <f t="shared" si="4"/>
        <v>4.3307175093963988</v>
      </c>
      <c r="P46" s="213">
        <f t="shared" si="4"/>
        <v>4.3640247659987397</v>
      </c>
      <c r="Q46" s="213">
        <f t="shared" si="4"/>
        <v>4.396780115717398</v>
      </c>
      <c r="R46" s="213">
        <f t="shared" si="4"/>
        <v>4.4289744035948342</v>
      </c>
      <c r="S46" s="213">
        <f t="shared" si="4"/>
        <v>4.4605991773064044</v>
      </c>
      <c r="T46" s="213">
        <f t="shared" si="4"/>
        <v>4.4916467157171303</v>
      </c>
      <c r="U46" s="213">
        <f t="shared" si="4"/>
        <v>4.522110055852596</v>
      </c>
      <c r="V46" s="213">
        <f t="shared" si="4"/>
        <v>4.5519830180411009</v>
      </c>
      <c r="W46" s="147"/>
      <c r="AE46" s="138">
        <f t="shared" si="2"/>
        <v>0</v>
      </c>
      <c r="AF46" s="139">
        <v>19</v>
      </c>
      <c r="AG46" s="140">
        <v>30</v>
      </c>
      <c r="AI46" s="141">
        <v>10.4</v>
      </c>
      <c r="AJ46" s="142"/>
    </row>
    <row r="47" spans="1:36" ht="12.75" customHeight="1">
      <c r="A47" s="143">
        <f t="shared" si="1"/>
        <v>30</v>
      </c>
      <c r="B47" s="135"/>
      <c r="C47" s="212">
        <f t="shared" si="3"/>
        <v>3.6226548989066201</v>
      </c>
      <c r="D47" s="212">
        <f t="shared" si="3"/>
        <v>3.7586872336565627</v>
      </c>
      <c r="E47" s="212">
        <f t="shared" si="3"/>
        <v>3.8943411560243604</v>
      </c>
      <c r="F47" s="212">
        <f t="shared" si="3"/>
        <v>3.9596023429077802</v>
      </c>
      <c r="G47" s="212">
        <f t="shared" si="3"/>
        <v>4.0244567727728606</v>
      </c>
      <c r="H47" s="212">
        <f t="shared" si="3"/>
        <v>4.0713907548916577</v>
      </c>
      <c r="I47" s="212">
        <f t="shared" si="3"/>
        <v>4.117890959293713</v>
      </c>
      <c r="J47" s="212">
        <f t="shared" si="3"/>
        <v>4.1814444473128685</v>
      </c>
      <c r="K47" s="212">
        <f t="shared" si="3"/>
        <v>4.2270387025966087</v>
      </c>
      <c r="L47" s="212">
        <f t="shared" si="3"/>
        <v>4.2721616624313352</v>
      </c>
      <c r="M47" s="212">
        <f t="shared" si="4"/>
        <v>4.3063017492225004</v>
      </c>
      <c r="N47" s="212">
        <f t="shared" si="4"/>
        <v>4.3399479019562275</v>
      </c>
      <c r="O47" s="212">
        <f t="shared" si="4"/>
        <v>4.3730896074564374</v>
      </c>
      <c r="P47" s="212">
        <f t="shared" si="4"/>
        <v>4.4057169312396791</v>
      </c>
      <c r="Q47" s="212">
        <f t="shared" si="4"/>
        <v>4.4378205477610333</v>
      </c>
      <c r="R47" s="212">
        <f t="shared" si="4"/>
        <v>4.4693917698345142</v>
      </c>
      <c r="S47" s="212">
        <f t="shared" si="4"/>
        <v>4.5004225770060771</v>
      </c>
      <c r="T47" s="212">
        <f t="shared" si="4"/>
        <v>4.530905642651291</v>
      </c>
      <c r="U47" s="212">
        <f t="shared" si="4"/>
        <v>4.5608343595681564</v>
      </c>
      <c r="V47" s="212">
        <f t="shared" si="4"/>
        <v>4.5902028638346213</v>
      </c>
      <c r="W47" s="147"/>
      <c r="AE47" s="138">
        <f t="shared" si="2"/>
        <v>0</v>
      </c>
      <c r="AF47" s="139">
        <v>0</v>
      </c>
      <c r="AG47" s="140">
        <v>31</v>
      </c>
      <c r="AI47" s="141">
        <v>10.4</v>
      </c>
      <c r="AJ47" s="142"/>
    </row>
    <row r="48" spans="1:36" ht="12.75" customHeight="1">
      <c r="A48" s="143">
        <f t="shared" si="1"/>
        <v>31</v>
      </c>
      <c r="B48" s="135"/>
      <c r="C48" s="212">
        <f t="shared" ref="C48:L56" si="5">(($A48-$A$37)*C$57+($A$57-$A48)*C$37)/($A$57-$A$37)</f>
        <v>3.6429734812731871</v>
      </c>
      <c r="D48" s="212">
        <f t="shared" si="5"/>
        <v>3.7878348441519782</v>
      </c>
      <c r="E48" s="212">
        <f t="shared" si="5"/>
        <v>3.9323381706999712</v>
      </c>
      <c r="F48" s="212">
        <f t="shared" si="5"/>
        <v>3.9994699090588997</v>
      </c>
      <c r="G48" s="212">
        <f t="shared" si="5"/>
        <v>4.0662167927004758</v>
      </c>
      <c r="H48" s="212">
        <f t="shared" si="5"/>
        <v>4.1133158680898001</v>
      </c>
      <c r="I48" s="212">
        <f t="shared" si="5"/>
        <v>4.1600045230240523</v>
      </c>
      <c r="J48" s="212">
        <f t="shared" si="5"/>
        <v>4.225520515534483</v>
      </c>
      <c r="K48" s="212">
        <f t="shared" si="5"/>
        <v>4.2713520032260224</v>
      </c>
      <c r="L48" s="212">
        <f t="shared" si="5"/>
        <v>4.3167375729158026</v>
      </c>
      <c r="M48" s="212">
        <f t="shared" ref="M48:V56" si="6">(($A48-$A$37)*M$57+($A$57-$A48)*M$37)/($A$57-$A$37)</f>
        <v>4.3501162704182121</v>
      </c>
      <c r="N48" s="212">
        <f t="shared" si="6"/>
        <v>4.3830276303124309</v>
      </c>
      <c r="O48" s="212">
        <f t="shared" si="6"/>
        <v>4.4154617055164751</v>
      </c>
      <c r="P48" s="212">
        <f t="shared" si="6"/>
        <v>4.4474090964806212</v>
      </c>
      <c r="Q48" s="212">
        <f t="shared" si="6"/>
        <v>4.4788609798046704</v>
      </c>
      <c r="R48" s="212">
        <f t="shared" si="6"/>
        <v>4.5098091360741943</v>
      </c>
      <c r="S48" s="212">
        <f t="shared" si="6"/>
        <v>4.5402459767057497</v>
      </c>
      <c r="T48" s="212">
        <f t="shared" si="6"/>
        <v>4.5701645695854527</v>
      </c>
      <c r="U48" s="212">
        <f t="shared" si="6"/>
        <v>4.5995586632837178</v>
      </c>
      <c r="V48" s="212">
        <f t="shared" si="6"/>
        <v>4.6284227096281416</v>
      </c>
      <c r="W48" s="147"/>
      <c r="AE48" s="138">
        <f t="shared" si="2"/>
        <v>0</v>
      </c>
      <c r="AF48" s="139">
        <v>1</v>
      </c>
      <c r="AG48" s="140">
        <v>32</v>
      </c>
      <c r="AI48" s="141">
        <v>10.4</v>
      </c>
      <c r="AJ48" s="142"/>
    </row>
    <row r="49" spans="1:36" ht="12.75" customHeight="1">
      <c r="A49" s="143">
        <f t="shared" si="1"/>
        <v>32</v>
      </c>
      <c r="B49" s="135"/>
      <c r="C49" s="212">
        <f t="shared" si="5"/>
        <v>3.6632920636397541</v>
      </c>
      <c r="D49" s="212">
        <f t="shared" si="5"/>
        <v>3.8169824546473938</v>
      </c>
      <c r="E49" s="212">
        <f t="shared" si="5"/>
        <v>3.9703351853755828</v>
      </c>
      <c r="F49" s="212">
        <f t="shared" si="5"/>
        <v>4.0393374752100195</v>
      </c>
      <c r="G49" s="212">
        <f t="shared" si="5"/>
        <v>4.1079768126280909</v>
      </c>
      <c r="H49" s="212">
        <f t="shared" si="5"/>
        <v>4.1552409812879416</v>
      </c>
      <c r="I49" s="212">
        <f t="shared" si="5"/>
        <v>4.2021180867543908</v>
      </c>
      <c r="J49" s="212">
        <f t="shared" si="5"/>
        <v>4.2695965837560976</v>
      </c>
      <c r="K49" s="212">
        <f t="shared" si="5"/>
        <v>4.3156653038554351</v>
      </c>
      <c r="L49" s="212">
        <f t="shared" si="5"/>
        <v>4.3613134834002683</v>
      </c>
      <c r="M49" s="212">
        <f t="shared" si="6"/>
        <v>4.3939307916139239</v>
      </c>
      <c r="N49" s="212">
        <f t="shared" si="6"/>
        <v>4.4261073586686344</v>
      </c>
      <c r="O49" s="212">
        <f t="shared" si="6"/>
        <v>4.4578338035765128</v>
      </c>
      <c r="P49" s="212">
        <f t="shared" si="6"/>
        <v>4.4891012617215607</v>
      </c>
      <c r="Q49" s="212">
        <f t="shared" si="6"/>
        <v>4.5199014118483074</v>
      </c>
      <c r="R49" s="212">
        <f t="shared" si="6"/>
        <v>4.5502265023138744</v>
      </c>
      <c r="S49" s="212">
        <f t="shared" si="6"/>
        <v>4.5800693764054232</v>
      </c>
      <c r="T49" s="212">
        <f t="shared" si="6"/>
        <v>4.6094234965196135</v>
      </c>
      <c r="U49" s="212">
        <f t="shared" si="6"/>
        <v>4.6382829669992791</v>
      </c>
      <c r="V49" s="212">
        <f t="shared" si="6"/>
        <v>4.666642555421662</v>
      </c>
      <c r="W49" s="147"/>
      <c r="AE49" s="138">
        <f t="shared" si="2"/>
        <v>0</v>
      </c>
      <c r="AF49" s="139">
        <v>2</v>
      </c>
      <c r="AG49" s="140">
        <v>33</v>
      </c>
      <c r="AI49" s="141">
        <v>10.4</v>
      </c>
      <c r="AJ49" s="142"/>
    </row>
    <row r="50" spans="1:36" ht="12.75" customHeight="1">
      <c r="A50" s="143">
        <f t="shared" ref="A50:A77" si="7">A49+1</f>
        <v>33</v>
      </c>
      <c r="B50" s="135"/>
      <c r="C50" s="212">
        <f t="shared" si="5"/>
        <v>3.6836106460063207</v>
      </c>
      <c r="D50" s="212">
        <f t="shared" si="5"/>
        <v>3.8461300651428103</v>
      </c>
      <c r="E50" s="212">
        <f t="shared" si="5"/>
        <v>4.0083322000511945</v>
      </c>
      <c r="F50" s="212">
        <f t="shared" si="5"/>
        <v>4.0792050413611394</v>
      </c>
      <c r="G50" s="212">
        <f t="shared" si="5"/>
        <v>4.149736832555706</v>
      </c>
      <c r="H50" s="212">
        <f t="shared" si="5"/>
        <v>4.1971660944860831</v>
      </c>
      <c r="I50" s="212">
        <f t="shared" si="5"/>
        <v>4.2442316504847293</v>
      </c>
      <c r="J50" s="212">
        <f t="shared" si="5"/>
        <v>4.3136726519777131</v>
      </c>
      <c r="K50" s="212">
        <f t="shared" si="5"/>
        <v>4.3599786044848488</v>
      </c>
      <c r="L50" s="212">
        <f t="shared" si="5"/>
        <v>4.4058893938847348</v>
      </c>
      <c r="M50" s="212">
        <f t="shared" si="6"/>
        <v>4.4377453128096356</v>
      </c>
      <c r="N50" s="212">
        <f t="shared" si="6"/>
        <v>4.4691870870248378</v>
      </c>
      <c r="O50" s="212">
        <f t="shared" si="6"/>
        <v>4.5002059016365505</v>
      </c>
      <c r="P50" s="212">
        <f t="shared" si="6"/>
        <v>4.530793426962501</v>
      </c>
      <c r="Q50" s="212">
        <f t="shared" si="6"/>
        <v>4.5609418438919445</v>
      </c>
      <c r="R50" s="212">
        <f t="shared" si="6"/>
        <v>4.5906438685535544</v>
      </c>
      <c r="S50" s="212">
        <f t="shared" si="6"/>
        <v>4.619892776105095</v>
      </c>
      <c r="T50" s="212">
        <f t="shared" si="6"/>
        <v>4.6486824234537751</v>
      </c>
      <c r="U50" s="212">
        <f t="shared" si="6"/>
        <v>4.6770072707148387</v>
      </c>
      <c r="V50" s="212">
        <f t="shared" si="6"/>
        <v>4.7048624012151823</v>
      </c>
      <c r="W50" s="147"/>
      <c r="AE50" s="138">
        <f t="shared" si="2"/>
        <v>0</v>
      </c>
      <c r="AF50" s="139">
        <v>3</v>
      </c>
      <c r="AG50" s="140">
        <v>34</v>
      </c>
      <c r="AI50" s="141">
        <v>10.4</v>
      </c>
      <c r="AJ50" s="142"/>
    </row>
    <row r="51" spans="1:36" ht="12.75" customHeight="1">
      <c r="A51" s="143">
        <f t="shared" si="7"/>
        <v>34</v>
      </c>
      <c r="B51" s="135"/>
      <c r="C51" s="212">
        <f t="shared" si="5"/>
        <v>3.7039292283728869</v>
      </c>
      <c r="D51" s="212">
        <f t="shared" si="5"/>
        <v>3.8752776756382259</v>
      </c>
      <c r="E51" s="212">
        <f t="shared" si="5"/>
        <v>4.0463292147268053</v>
      </c>
      <c r="F51" s="212">
        <f t="shared" si="5"/>
        <v>4.1190726075122583</v>
      </c>
      <c r="G51" s="212">
        <f t="shared" si="5"/>
        <v>4.1914968524833212</v>
      </c>
      <c r="H51" s="212">
        <f t="shared" si="5"/>
        <v>4.2390912076842238</v>
      </c>
      <c r="I51" s="212">
        <f t="shared" si="5"/>
        <v>4.2863452142150678</v>
      </c>
      <c r="J51" s="212">
        <f t="shared" si="5"/>
        <v>4.3577487201993277</v>
      </c>
      <c r="K51" s="212">
        <f t="shared" si="5"/>
        <v>4.4042919051142615</v>
      </c>
      <c r="L51" s="212">
        <f t="shared" si="5"/>
        <v>4.4504653043692013</v>
      </c>
      <c r="M51" s="212">
        <f t="shared" si="6"/>
        <v>4.4815598340053473</v>
      </c>
      <c r="N51" s="212">
        <f t="shared" si="6"/>
        <v>4.5122668153810412</v>
      </c>
      <c r="O51" s="212">
        <f t="shared" si="6"/>
        <v>4.5425779996965883</v>
      </c>
      <c r="P51" s="212">
        <f t="shared" si="6"/>
        <v>4.5724855922034404</v>
      </c>
      <c r="Q51" s="212">
        <f t="shared" si="6"/>
        <v>4.6019822759355806</v>
      </c>
      <c r="R51" s="212">
        <f t="shared" si="6"/>
        <v>4.6310612347932345</v>
      </c>
      <c r="S51" s="212">
        <f t="shared" si="6"/>
        <v>4.6597161758047676</v>
      </c>
      <c r="T51" s="212">
        <f t="shared" si="6"/>
        <v>4.6879413503879359</v>
      </c>
      <c r="U51" s="212">
        <f t="shared" si="6"/>
        <v>4.7157315744304</v>
      </c>
      <c r="V51" s="212">
        <f t="shared" si="6"/>
        <v>4.7430822470087026</v>
      </c>
      <c r="W51" s="147"/>
      <c r="AE51" s="138">
        <f t="shared" si="2"/>
        <v>0</v>
      </c>
      <c r="AF51" s="139">
        <v>4</v>
      </c>
      <c r="AG51" s="140">
        <v>35</v>
      </c>
      <c r="AI51" s="141">
        <v>10.4</v>
      </c>
      <c r="AJ51" s="142"/>
    </row>
    <row r="52" spans="1:36" ht="12.75" customHeight="1">
      <c r="A52" s="143">
        <f t="shared" si="7"/>
        <v>35</v>
      </c>
      <c r="B52" s="135"/>
      <c r="C52" s="212">
        <f t="shared" si="5"/>
        <v>3.7242478107394534</v>
      </c>
      <c r="D52" s="212">
        <f t="shared" si="5"/>
        <v>3.9044252861336419</v>
      </c>
      <c r="E52" s="212">
        <f t="shared" si="5"/>
        <v>4.0843262294024161</v>
      </c>
      <c r="F52" s="212">
        <f t="shared" si="5"/>
        <v>4.1589401736633782</v>
      </c>
      <c r="G52" s="212">
        <f t="shared" si="5"/>
        <v>4.2332568724109363</v>
      </c>
      <c r="H52" s="212">
        <f t="shared" si="5"/>
        <v>4.2810163208823653</v>
      </c>
      <c r="I52" s="212">
        <f t="shared" si="5"/>
        <v>4.3284587779454053</v>
      </c>
      <c r="J52" s="212">
        <f t="shared" si="5"/>
        <v>4.4018247884209414</v>
      </c>
      <c r="K52" s="212">
        <f t="shared" si="5"/>
        <v>4.4486052057436751</v>
      </c>
      <c r="L52" s="212">
        <f t="shared" si="5"/>
        <v>4.4950412148536687</v>
      </c>
      <c r="M52" s="212">
        <f t="shared" si="6"/>
        <v>4.5253743552010581</v>
      </c>
      <c r="N52" s="212">
        <f t="shared" si="6"/>
        <v>4.5553465437372438</v>
      </c>
      <c r="O52" s="212">
        <f t="shared" si="6"/>
        <v>4.5849500977566269</v>
      </c>
      <c r="P52" s="212">
        <f t="shared" si="6"/>
        <v>4.6141777574443816</v>
      </c>
      <c r="Q52" s="212">
        <f t="shared" si="6"/>
        <v>4.6430227079792168</v>
      </c>
      <c r="R52" s="212">
        <f t="shared" si="6"/>
        <v>4.6714786010329146</v>
      </c>
      <c r="S52" s="212">
        <f t="shared" si="6"/>
        <v>4.6995395755044411</v>
      </c>
      <c r="T52" s="212">
        <f t="shared" si="6"/>
        <v>4.7272002773220976</v>
      </c>
      <c r="U52" s="212">
        <f t="shared" si="6"/>
        <v>4.7544558781459605</v>
      </c>
      <c r="V52" s="212">
        <f t="shared" si="6"/>
        <v>4.781302092802223</v>
      </c>
      <c r="W52" s="147"/>
      <c r="X52" s="148"/>
      <c r="Y52" s="148"/>
      <c r="Z52" s="148"/>
      <c r="AA52" s="148"/>
      <c r="AB52" s="148"/>
      <c r="AC52" s="149"/>
      <c r="AD52" s="149"/>
      <c r="AE52" s="138">
        <f t="shared" si="2"/>
        <v>0</v>
      </c>
      <c r="AF52" s="139">
        <v>5</v>
      </c>
      <c r="AG52" s="140">
        <v>36</v>
      </c>
      <c r="AI52" s="141">
        <v>10.4</v>
      </c>
      <c r="AJ52" s="142"/>
    </row>
    <row r="53" spans="1:36" ht="12.75" customHeight="1">
      <c r="A53" s="143">
        <f t="shared" si="7"/>
        <v>36</v>
      </c>
      <c r="B53" s="135"/>
      <c r="C53" s="212">
        <f t="shared" si="5"/>
        <v>3.7445663931060205</v>
      </c>
      <c r="D53" s="212">
        <f t="shared" si="5"/>
        <v>3.9335728966290575</v>
      </c>
      <c r="E53" s="212">
        <f t="shared" si="5"/>
        <v>4.1223232440780277</v>
      </c>
      <c r="F53" s="212">
        <f t="shared" si="5"/>
        <v>4.1988077398144972</v>
      </c>
      <c r="G53" s="212">
        <f t="shared" si="5"/>
        <v>4.2750168923385514</v>
      </c>
      <c r="H53" s="212">
        <f t="shared" si="5"/>
        <v>4.3229414340805068</v>
      </c>
      <c r="I53" s="212">
        <f t="shared" si="5"/>
        <v>4.3705723416757447</v>
      </c>
      <c r="J53" s="212">
        <f t="shared" si="5"/>
        <v>4.4459008566425569</v>
      </c>
      <c r="K53" s="212">
        <f t="shared" si="5"/>
        <v>4.4929185063730888</v>
      </c>
      <c r="L53" s="212">
        <f t="shared" si="5"/>
        <v>4.5396171253381343</v>
      </c>
      <c r="M53" s="212">
        <f t="shared" si="6"/>
        <v>4.5691888763967698</v>
      </c>
      <c r="N53" s="212">
        <f t="shared" si="6"/>
        <v>4.5984262720934463</v>
      </c>
      <c r="O53" s="212">
        <f t="shared" si="6"/>
        <v>4.6273221958166646</v>
      </c>
      <c r="P53" s="212">
        <f t="shared" si="6"/>
        <v>4.6558699226853211</v>
      </c>
      <c r="Q53" s="212">
        <f t="shared" si="6"/>
        <v>4.6840631400228538</v>
      </c>
      <c r="R53" s="212">
        <f t="shared" si="6"/>
        <v>4.7118959672725946</v>
      </c>
      <c r="S53" s="212">
        <f t="shared" si="6"/>
        <v>4.7393629752041138</v>
      </c>
      <c r="T53" s="212">
        <f t="shared" si="6"/>
        <v>4.7664592042562592</v>
      </c>
      <c r="U53" s="212">
        <f t="shared" si="6"/>
        <v>4.7931801818615209</v>
      </c>
      <c r="V53" s="212">
        <f t="shared" si="6"/>
        <v>4.8195219385957433</v>
      </c>
      <c r="W53" s="147"/>
      <c r="X53" s="148"/>
      <c r="Y53" s="148"/>
      <c r="Z53" s="148"/>
      <c r="AA53" s="148"/>
      <c r="AB53" s="148"/>
      <c r="AC53" s="149"/>
      <c r="AD53" s="149"/>
      <c r="AE53" s="138">
        <f t="shared" si="2"/>
        <v>0</v>
      </c>
      <c r="AF53" s="139">
        <v>6</v>
      </c>
      <c r="AG53" s="140">
        <v>37</v>
      </c>
      <c r="AI53" s="141">
        <v>10.4</v>
      </c>
      <c r="AJ53" s="142"/>
    </row>
    <row r="54" spans="1:36" ht="12.75" customHeight="1">
      <c r="A54" s="143">
        <f t="shared" si="7"/>
        <v>37</v>
      </c>
      <c r="B54" s="135"/>
      <c r="C54" s="212">
        <f t="shared" si="5"/>
        <v>3.7648849754725866</v>
      </c>
      <c r="D54" s="212">
        <f t="shared" si="5"/>
        <v>3.9627205071244731</v>
      </c>
      <c r="E54" s="212">
        <f t="shared" si="5"/>
        <v>4.1603202587536394</v>
      </c>
      <c r="F54" s="212">
        <f t="shared" si="5"/>
        <v>4.238675305965617</v>
      </c>
      <c r="G54" s="212">
        <f t="shared" si="5"/>
        <v>4.3167769122661674</v>
      </c>
      <c r="H54" s="212">
        <f t="shared" si="5"/>
        <v>4.3648665472786492</v>
      </c>
      <c r="I54" s="212">
        <f t="shared" si="5"/>
        <v>4.4126859054060832</v>
      </c>
      <c r="J54" s="212">
        <f t="shared" si="5"/>
        <v>4.4899769248641714</v>
      </c>
      <c r="K54" s="212">
        <f t="shared" si="5"/>
        <v>4.5372318070025024</v>
      </c>
      <c r="L54" s="212">
        <f t="shared" si="5"/>
        <v>4.5841930358226008</v>
      </c>
      <c r="M54" s="212">
        <f t="shared" si="6"/>
        <v>4.6130033975924816</v>
      </c>
      <c r="N54" s="212">
        <f t="shared" si="6"/>
        <v>4.6415060004496507</v>
      </c>
      <c r="O54" s="212">
        <f t="shared" si="6"/>
        <v>4.6696942938767023</v>
      </c>
      <c r="P54" s="212">
        <f t="shared" si="6"/>
        <v>4.6975620879262614</v>
      </c>
      <c r="Q54" s="212">
        <f t="shared" si="6"/>
        <v>4.7251035720664909</v>
      </c>
      <c r="R54" s="212">
        <f t="shared" si="6"/>
        <v>4.7523133335122747</v>
      </c>
      <c r="S54" s="212">
        <f t="shared" si="6"/>
        <v>4.7791863749037855</v>
      </c>
      <c r="T54" s="212">
        <f t="shared" si="6"/>
        <v>4.8057181311904191</v>
      </c>
      <c r="U54" s="212">
        <f t="shared" si="6"/>
        <v>4.8319044855770823</v>
      </c>
      <c r="V54" s="212">
        <f t="shared" si="6"/>
        <v>4.8577417843892636</v>
      </c>
      <c r="W54" s="147"/>
      <c r="X54" s="148"/>
      <c r="Y54" s="148"/>
      <c r="Z54" s="148"/>
      <c r="AA54" s="148"/>
      <c r="AB54" s="148"/>
      <c r="AC54" s="149"/>
      <c r="AD54" s="149"/>
      <c r="AE54" s="138">
        <f t="shared" si="2"/>
        <v>0</v>
      </c>
      <c r="AF54" s="139">
        <v>7</v>
      </c>
      <c r="AG54" s="140">
        <v>38</v>
      </c>
      <c r="AI54" s="141">
        <v>10.4</v>
      </c>
      <c r="AJ54" s="142"/>
    </row>
    <row r="55" spans="1:36" ht="12.75" customHeight="1">
      <c r="A55" s="143">
        <f t="shared" si="7"/>
        <v>38</v>
      </c>
      <c r="B55" s="135"/>
      <c r="C55" s="212">
        <f t="shared" si="5"/>
        <v>3.7852035578391527</v>
      </c>
      <c r="D55" s="212">
        <f t="shared" si="5"/>
        <v>3.9918681176198896</v>
      </c>
      <c r="E55" s="212">
        <f t="shared" si="5"/>
        <v>4.1983172734292511</v>
      </c>
      <c r="F55" s="212">
        <f t="shared" si="5"/>
        <v>4.2785428721167369</v>
      </c>
      <c r="G55" s="212">
        <f t="shared" si="5"/>
        <v>4.3585369321937826</v>
      </c>
      <c r="H55" s="212">
        <f t="shared" si="5"/>
        <v>4.4067916604767898</v>
      </c>
      <c r="I55" s="212">
        <f t="shared" si="5"/>
        <v>4.4547994691364217</v>
      </c>
      <c r="J55" s="212">
        <f t="shared" si="5"/>
        <v>4.534052993085786</v>
      </c>
      <c r="K55" s="212">
        <f t="shared" si="5"/>
        <v>4.581545107631916</v>
      </c>
      <c r="L55" s="212">
        <f t="shared" si="5"/>
        <v>4.6287689463070674</v>
      </c>
      <c r="M55" s="212">
        <f t="shared" si="6"/>
        <v>4.6568179187881933</v>
      </c>
      <c r="N55" s="212">
        <f t="shared" si="6"/>
        <v>4.6845857288058532</v>
      </c>
      <c r="O55" s="212">
        <f t="shared" si="6"/>
        <v>4.71206639193674</v>
      </c>
      <c r="P55" s="212">
        <f t="shared" si="6"/>
        <v>4.7392542531672017</v>
      </c>
      <c r="Q55" s="212">
        <f t="shared" si="6"/>
        <v>4.7661440041101271</v>
      </c>
      <c r="R55" s="212">
        <f t="shared" si="6"/>
        <v>4.7927306997519548</v>
      </c>
      <c r="S55" s="212">
        <f t="shared" si="6"/>
        <v>4.819009774603459</v>
      </c>
      <c r="T55" s="212">
        <f t="shared" si="6"/>
        <v>4.8449770581245808</v>
      </c>
      <c r="U55" s="212">
        <f t="shared" si="6"/>
        <v>4.8706287892926428</v>
      </c>
      <c r="V55" s="212">
        <f t="shared" si="6"/>
        <v>4.895961630182784</v>
      </c>
      <c r="W55" s="147"/>
      <c r="X55" s="148"/>
      <c r="Y55" s="148"/>
      <c r="Z55" s="148"/>
      <c r="AA55" s="148"/>
      <c r="AB55" s="148"/>
      <c r="AC55" s="149"/>
      <c r="AD55" s="149"/>
      <c r="AE55" s="138">
        <f t="shared" si="2"/>
        <v>0</v>
      </c>
      <c r="AF55" s="139">
        <v>8</v>
      </c>
      <c r="AG55" s="140">
        <v>39</v>
      </c>
      <c r="AI55" s="141">
        <v>10.4</v>
      </c>
      <c r="AJ55" s="142"/>
    </row>
    <row r="56" spans="1:36" ht="12.75" customHeight="1">
      <c r="A56" s="134">
        <f t="shared" si="7"/>
        <v>39</v>
      </c>
      <c r="B56" s="135"/>
      <c r="C56" s="213">
        <f t="shared" si="5"/>
        <v>3.8055221402057198</v>
      </c>
      <c r="D56" s="213">
        <f t="shared" si="5"/>
        <v>4.0210157281153052</v>
      </c>
      <c r="E56" s="213">
        <f t="shared" si="5"/>
        <v>4.2363142881048628</v>
      </c>
      <c r="F56" s="213">
        <f t="shared" si="5"/>
        <v>4.3184104382678559</v>
      </c>
      <c r="G56" s="213">
        <f t="shared" si="5"/>
        <v>4.4002969521213977</v>
      </c>
      <c r="H56" s="213">
        <f t="shared" si="5"/>
        <v>4.4487167736749313</v>
      </c>
      <c r="I56" s="213">
        <f t="shared" si="5"/>
        <v>4.4969130328667593</v>
      </c>
      <c r="J56" s="213">
        <f t="shared" si="5"/>
        <v>4.5781290613074015</v>
      </c>
      <c r="K56" s="213">
        <f t="shared" si="5"/>
        <v>4.6258584082613288</v>
      </c>
      <c r="L56" s="213">
        <f t="shared" si="5"/>
        <v>4.6733448567915339</v>
      </c>
      <c r="M56" s="213">
        <f t="shared" si="6"/>
        <v>4.7006324399839041</v>
      </c>
      <c r="N56" s="213">
        <f t="shared" si="6"/>
        <v>4.7276654571620558</v>
      </c>
      <c r="O56" s="213">
        <f t="shared" si="6"/>
        <v>4.7544384899967778</v>
      </c>
      <c r="P56" s="213">
        <f t="shared" si="6"/>
        <v>4.7809464184081421</v>
      </c>
      <c r="Q56" s="213">
        <f t="shared" si="6"/>
        <v>4.8071844361537632</v>
      </c>
      <c r="R56" s="213">
        <f t="shared" si="6"/>
        <v>4.8331480659916348</v>
      </c>
      <c r="S56" s="213">
        <f t="shared" si="6"/>
        <v>4.8588331743031317</v>
      </c>
      <c r="T56" s="213">
        <f t="shared" si="6"/>
        <v>4.8842359850587425</v>
      </c>
      <c r="U56" s="213">
        <f t="shared" si="6"/>
        <v>4.9093530930082041</v>
      </c>
      <c r="V56" s="213">
        <f t="shared" si="6"/>
        <v>4.9341814759763043</v>
      </c>
      <c r="W56" s="147"/>
      <c r="X56" s="148"/>
      <c r="Y56" s="148"/>
      <c r="Z56" s="148"/>
      <c r="AA56" s="148"/>
      <c r="AB56" s="148"/>
      <c r="AC56" s="149"/>
      <c r="AD56" s="149"/>
      <c r="AE56" s="138">
        <f t="shared" si="2"/>
        <v>0</v>
      </c>
      <c r="AF56" s="139">
        <v>9</v>
      </c>
      <c r="AG56" s="140">
        <v>40</v>
      </c>
      <c r="AI56" s="141">
        <v>10.4</v>
      </c>
      <c r="AJ56" s="142"/>
    </row>
    <row r="57" spans="1:36" ht="12.75" customHeight="1">
      <c r="A57" s="143">
        <f t="shared" si="7"/>
        <v>40</v>
      </c>
      <c r="B57" s="135"/>
      <c r="C57" s="214">
        <f t="shared" ref="C57:U57" si="8">+C37*30%+C77*70%</f>
        <v>3.8258407225722864</v>
      </c>
      <c r="D57" s="214">
        <f t="shared" si="8"/>
        <v>4.0501633386107212</v>
      </c>
      <c r="E57" s="214">
        <f t="shared" si="8"/>
        <v>4.2743113027804736</v>
      </c>
      <c r="F57" s="214">
        <f t="shared" si="8"/>
        <v>4.3582780044189757</v>
      </c>
      <c r="G57" s="214">
        <f t="shared" si="8"/>
        <v>4.4420569720490128</v>
      </c>
      <c r="H57" s="214">
        <f t="shared" si="8"/>
        <v>4.4906418868730729</v>
      </c>
      <c r="I57" s="214">
        <f t="shared" si="8"/>
        <v>4.5390265965970986</v>
      </c>
      <c r="J57" s="214">
        <f t="shared" si="8"/>
        <v>4.6222051295290161</v>
      </c>
      <c r="K57" s="214">
        <f t="shared" si="8"/>
        <v>4.6701717088907424</v>
      </c>
      <c r="L57" s="214">
        <f t="shared" si="8"/>
        <v>4.7179207672760004</v>
      </c>
      <c r="M57" s="214">
        <f t="shared" si="8"/>
        <v>4.7444469611796158</v>
      </c>
      <c r="N57" s="214">
        <f t="shared" si="8"/>
        <v>4.7707451855182592</v>
      </c>
      <c r="O57" s="214">
        <f t="shared" si="8"/>
        <v>4.7968105880568164</v>
      </c>
      <c r="P57" s="214">
        <f t="shared" si="8"/>
        <v>4.8226385836490824</v>
      </c>
      <c r="Q57" s="214">
        <f t="shared" si="8"/>
        <v>4.8482248681974003</v>
      </c>
      <c r="R57" s="214">
        <f t="shared" si="8"/>
        <v>4.8735654322313149</v>
      </c>
      <c r="S57" s="214">
        <f t="shared" si="8"/>
        <v>4.8986565740028043</v>
      </c>
      <c r="T57" s="214">
        <f t="shared" si="8"/>
        <v>4.9234949119929032</v>
      </c>
      <c r="U57" s="214">
        <f t="shared" si="8"/>
        <v>4.9480773967237646</v>
      </c>
      <c r="V57" s="214">
        <f>+V37*30%+V77*70%</f>
        <v>4.9724013217698246</v>
      </c>
      <c r="W57" s="147"/>
      <c r="X57" s="148"/>
      <c r="Y57" s="148"/>
      <c r="Z57" s="148"/>
      <c r="AA57" s="148"/>
      <c r="AB57" s="148"/>
      <c r="AC57" s="149"/>
      <c r="AD57" s="149"/>
      <c r="AE57" s="138">
        <f t="shared" si="2"/>
        <v>0</v>
      </c>
      <c r="AF57" s="139">
        <v>10</v>
      </c>
      <c r="AG57" s="140">
        <v>41</v>
      </c>
      <c r="AI57" s="141">
        <v>10.4</v>
      </c>
      <c r="AJ57" s="142"/>
    </row>
    <row r="58" spans="1:36" ht="12.75" customHeight="1">
      <c r="A58" s="143">
        <f t="shared" si="7"/>
        <v>41</v>
      </c>
      <c r="B58" s="135"/>
      <c r="C58" s="212">
        <f t="shared" ref="C58:U71" si="9">(($A58-$A$57)*C$77+($A$77-$A58)*C$57)/($A$77-$A$57)</f>
        <v>3.8345486864436724</v>
      </c>
      <c r="D58" s="212">
        <f t="shared" si="9"/>
        <v>4.0626551716801851</v>
      </c>
      <c r="E58" s="212">
        <f t="shared" si="9"/>
        <v>4.2905957376414499</v>
      </c>
      <c r="F58" s="212">
        <f t="shared" si="9"/>
        <v>4.3753641041980273</v>
      </c>
      <c r="G58" s="212">
        <f t="shared" si="9"/>
        <v>4.4599541234465621</v>
      </c>
      <c r="H58" s="212">
        <f t="shared" si="9"/>
        <v>4.5086097925294188</v>
      </c>
      <c r="I58" s="212">
        <f t="shared" si="9"/>
        <v>4.5570752667672441</v>
      </c>
      <c r="J58" s="212">
        <f t="shared" si="9"/>
        <v>4.6410948730525652</v>
      </c>
      <c r="K58" s="212">
        <f t="shared" si="9"/>
        <v>4.689163123446205</v>
      </c>
      <c r="L58" s="212">
        <f t="shared" si="9"/>
        <v>4.7370247289121998</v>
      </c>
      <c r="M58" s="212">
        <f t="shared" si="9"/>
        <v>4.7632246131206353</v>
      </c>
      <c r="N58" s="212">
        <f t="shared" si="9"/>
        <v>4.7892079262423461</v>
      </c>
      <c r="O58" s="212">
        <f t="shared" si="9"/>
        <v>4.8149700586539748</v>
      </c>
      <c r="P58" s="212">
        <f t="shared" si="9"/>
        <v>4.840506654466628</v>
      </c>
      <c r="Q58" s="212">
        <f t="shared" si="9"/>
        <v>4.8658136247875303</v>
      </c>
      <c r="R58" s="212">
        <f t="shared" si="9"/>
        <v>4.8908871606197497</v>
      </c>
      <c r="S58" s="212">
        <f t="shared" si="9"/>
        <v>4.9157237453026639</v>
      </c>
      <c r="T58" s="212">
        <f t="shared" si="9"/>
        <v>4.9403201663932581</v>
      </c>
      <c r="U58" s="212">
        <f t="shared" si="9"/>
        <v>4.9646735268875766</v>
      </c>
      <c r="V58" s="212">
        <f>(($A58-$A$57)*V$77+($A$77-$A58)*V$57)/($A$77-$A$57)</f>
        <v>4.9887812556813333</v>
      </c>
      <c r="W58" s="137"/>
      <c r="X58" s="148"/>
      <c r="Y58" s="148"/>
      <c r="Z58" s="148"/>
      <c r="AA58" s="148"/>
      <c r="AB58" s="148"/>
      <c r="AC58" s="149"/>
      <c r="AD58" s="149"/>
      <c r="AE58" s="138">
        <f t="shared" si="2"/>
        <v>0</v>
      </c>
      <c r="AF58" s="139">
        <v>11</v>
      </c>
      <c r="AG58" s="140">
        <v>42</v>
      </c>
      <c r="AI58" s="141">
        <v>10.4</v>
      </c>
      <c r="AJ58" s="142"/>
    </row>
    <row r="59" spans="1:36" ht="12.75" customHeight="1">
      <c r="A59" s="143">
        <f t="shared" si="7"/>
        <v>42</v>
      </c>
      <c r="B59" s="135"/>
      <c r="C59" s="212">
        <f t="shared" si="9"/>
        <v>3.8432566503150576</v>
      </c>
      <c r="D59" s="212">
        <f t="shared" si="9"/>
        <v>4.075147004749649</v>
      </c>
      <c r="E59" s="212">
        <f t="shared" si="9"/>
        <v>4.3068801725024262</v>
      </c>
      <c r="F59" s="212">
        <f t="shared" si="9"/>
        <v>4.392450203977079</v>
      </c>
      <c r="G59" s="212">
        <f t="shared" si="9"/>
        <v>4.4778512748441113</v>
      </c>
      <c r="H59" s="212">
        <f t="shared" si="9"/>
        <v>4.5265776981857657</v>
      </c>
      <c r="I59" s="212">
        <f t="shared" si="9"/>
        <v>4.5751239369373886</v>
      </c>
      <c r="J59" s="212">
        <f t="shared" si="9"/>
        <v>4.6599846165761143</v>
      </c>
      <c r="K59" s="212">
        <f t="shared" si="9"/>
        <v>4.7081545380016676</v>
      </c>
      <c r="L59" s="212">
        <f t="shared" si="9"/>
        <v>4.7561286905484002</v>
      </c>
      <c r="M59" s="212">
        <f t="shared" si="9"/>
        <v>4.7820022650616547</v>
      </c>
      <c r="N59" s="212">
        <f t="shared" si="9"/>
        <v>4.8076706669664331</v>
      </c>
      <c r="O59" s="212">
        <f t="shared" si="9"/>
        <v>4.833129529251134</v>
      </c>
      <c r="P59" s="212">
        <f t="shared" si="9"/>
        <v>4.8583747252841736</v>
      </c>
      <c r="Q59" s="212">
        <f t="shared" si="9"/>
        <v>4.8834023813776604</v>
      </c>
      <c r="R59" s="212">
        <f t="shared" si="9"/>
        <v>4.9082088890081836</v>
      </c>
      <c r="S59" s="212">
        <f t="shared" si="9"/>
        <v>4.9327909166025243</v>
      </c>
      <c r="T59" s="212">
        <f t="shared" si="9"/>
        <v>4.957145420793613</v>
      </c>
      <c r="U59" s="212">
        <f t="shared" si="9"/>
        <v>4.9812696570513877</v>
      </c>
      <c r="V59" s="212">
        <f>(($A59-$A$57)*V$77+($A$77-$A59)*V$57)/($A$77-$A$57)</f>
        <v>5.0051611895928421</v>
      </c>
      <c r="W59" s="137"/>
      <c r="X59" s="148"/>
      <c r="Y59" s="148"/>
      <c r="Z59" s="148"/>
      <c r="AA59" s="148"/>
      <c r="AB59" s="148"/>
      <c r="AC59" s="149"/>
      <c r="AD59" s="149"/>
      <c r="AE59" s="138">
        <f t="shared" si="2"/>
        <v>0</v>
      </c>
      <c r="AF59" s="139">
        <v>12</v>
      </c>
      <c r="AG59" s="140">
        <v>43</v>
      </c>
      <c r="AI59" s="141">
        <v>10.4</v>
      </c>
      <c r="AJ59" s="142"/>
    </row>
    <row r="60" spans="1:36" ht="12.75" customHeight="1">
      <c r="A60" s="143">
        <f t="shared" si="7"/>
        <v>43</v>
      </c>
      <c r="B60" s="135"/>
      <c r="C60" s="212">
        <f t="shared" si="9"/>
        <v>3.8519646141864436</v>
      </c>
      <c r="D60" s="212">
        <f t="shared" si="9"/>
        <v>4.087638837819112</v>
      </c>
      <c r="E60" s="212">
        <f t="shared" si="9"/>
        <v>4.3231646073634025</v>
      </c>
      <c r="F60" s="212">
        <f t="shared" si="9"/>
        <v>4.4095363037561297</v>
      </c>
      <c r="G60" s="212">
        <f t="shared" si="9"/>
        <v>4.4957484262416614</v>
      </c>
      <c r="H60" s="212">
        <f t="shared" si="9"/>
        <v>4.5445456038421117</v>
      </c>
      <c r="I60" s="212">
        <f t="shared" si="9"/>
        <v>4.5931726071075341</v>
      </c>
      <c r="J60" s="212">
        <f t="shared" si="9"/>
        <v>4.6788743600996643</v>
      </c>
      <c r="K60" s="212">
        <f t="shared" si="9"/>
        <v>4.727145952557132</v>
      </c>
      <c r="L60" s="212">
        <f t="shared" si="9"/>
        <v>4.7752326521846005</v>
      </c>
      <c r="M60" s="212">
        <f t="shared" si="9"/>
        <v>4.8007799170026733</v>
      </c>
      <c r="N60" s="212">
        <f t="shared" si="9"/>
        <v>4.8261334076905209</v>
      </c>
      <c r="O60" s="212">
        <f t="shared" si="9"/>
        <v>4.8512889998482942</v>
      </c>
      <c r="P60" s="212">
        <f t="shared" si="9"/>
        <v>4.8762427961017192</v>
      </c>
      <c r="Q60" s="212">
        <f t="shared" si="9"/>
        <v>4.9009911379677904</v>
      </c>
      <c r="R60" s="212">
        <f t="shared" si="9"/>
        <v>4.9255306173966176</v>
      </c>
      <c r="S60" s="212">
        <f t="shared" si="9"/>
        <v>4.949858087902383</v>
      </c>
      <c r="T60" s="212">
        <f t="shared" si="9"/>
        <v>4.9739706751939678</v>
      </c>
      <c r="U60" s="212">
        <f t="shared" si="9"/>
        <v>4.9978657872151997</v>
      </c>
      <c r="V60" s="212">
        <f>(($A60-$A$57)*V$77+($A$77-$A60)*V$57)/($A$77-$A$57)</f>
        <v>5.0215411235043508</v>
      </c>
      <c r="W60" s="137"/>
      <c r="X60" s="148"/>
      <c r="Y60" s="148"/>
      <c r="Z60" s="148"/>
      <c r="AA60" s="148"/>
      <c r="AB60" s="148"/>
      <c r="AC60" s="149"/>
      <c r="AD60" s="149"/>
      <c r="AE60" s="138">
        <f t="shared" si="2"/>
        <v>0</v>
      </c>
      <c r="AF60" s="139">
        <v>13</v>
      </c>
      <c r="AG60" s="140">
        <v>44</v>
      </c>
      <c r="AI60" s="141">
        <v>10.4</v>
      </c>
      <c r="AJ60" s="142"/>
    </row>
    <row r="61" spans="1:36" ht="12.75" customHeight="1">
      <c r="A61" s="143">
        <f t="shared" si="7"/>
        <v>44</v>
      </c>
      <c r="B61" s="135"/>
      <c r="C61" s="212">
        <f t="shared" si="9"/>
        <v>3.8606725780578288</v>
      </c>
      <c r="D61" s="212">
        <f t="shared" si="9"/>
        <v>4.1001306708885767</v>
      </c>
      <c r="E61" s="212">
        <f t="shared" si="9"/>
        <v>4.3394490422243788</v>
      </c>
      <c r="F61" s="212">
        <f t="shared" si="9"/>
        <v>4.4266224035351804</v>
      </c>
      <c r="G61" s="212">
        <f t="shared" si="9"/>
        <v>4.5136455776392106</v>
      </c>
      <c r="H61" s="212">
        <f t="shared" si="9"/>
        <v>4.5625135094984586</v>
      </c>
      <c r="I61" s="212">
        <f t="shared" si="9"/>
        <v>4.6112212772776786</v>
      </c>
      <c r="J61" s="212">
        <f t="shared" si="9"/>
        <v>4.6977641036232125</v>
      </c>
      <c r="K61" s="212">
        <f t="shared" si="9"/>
        <v>4.7461373671125937</v>
      </c>
      <c r="L61" s="212">
        <f t="shared" si="9"/>
        <v>4.7943366138208008</v>
      </c>
      <c r="M61" s="212">
        <f t="shared" si="9"/>
        <v>4.8195575689436927</v>
      </c>
      <c r="N61" s="212">
        <f t="shared" si="9"/>
        <v>4.8445961484146078</v>
      </c>
      <c r="O61" s="212">
        <f t="shared" si="9"/>
        <v>4.8694484704454535</v>
      </c>
      <c r="P61" s="212">
        <f t="shared" si="9"/>
        <v>4.8941108669192657</v>
      </c>
      <c r="Q61" s="212">
        <f t="shared" si="9"/>
        <v>4.9185798945579204</v>
      </c>
      <c r="R61" s="212">
        <f t="shared" si="9"/>
        <v>4.9428523457850515</v>
      </c>
      <c r="S61" s="212">
        <f t="shared" si="9"/>
        <v>4.9669252592022435</v>
      </c>
      <c r="T61" s="212">
        <f t="shared" si="9"/>
        <v>4.9907959295943227</v>
      </c>
      <c r="U61" s="212">
        <f t="shared" si="9"/>
        <v>5.0144619173790117</v>
      </c>
      <c r="V61" s="212">
        <f t="shared" ref="V61:V76" si="10">(($A61-$A$57)*V$77+($A$77-$A61)*V$57)/($A$77-$A$57)</f>
        <v>5.0379210574158595</v>
      </c>
      <c r="W61" s="137"/>
      <c r="X61" s="148"/>
      <c r="Y61" s="148"/>
      <c r="Z61" s="148"/>
      <c r="AA61" s="148"/>
      <c r="AB61" s="148"/>
      <c r="AC61" s="149"/>
      <c r="AD61" s="149"/>
      <c r="AE61" s="138">
        <f t="shared" si="2"/>
        <v>0</v>
      </c>
      <c r="AF61" s="139">
        <v>14</v>
      </c>
      <c r="AG61" s="140">
        <v>45</v>
      </c>
      <c r="AI61" s="141">
        <v>10.4</v>
      </c>
      <c r="AJ61" s="142"/>
    </row>
    <row r="62" spans="1:36" ht="12.75" customHeight="1">
      <c r="A62" s="143">
        <f t="shared" si="7"/>
        <v>45</v>
      </c>
      <c r="B62" s="135"/>
      <c r="C62" s="212">
        <f t="shared" si="9"/>
        <v>3.8693805419292149</v>
      </c>
      <c r="D62" s="212">
        <f t="shared" si="9"/>
        <v>4.1126225039580406</v>
      </c>
      <c r="E62" s="212">
        <f t="shared" si="9"/>
        <v>4.3557334770853551</v>
      </c>
      <c r="F62" s="212">
        <f t="shared" si="9"/>
        <v>4.4437085033142321</v>
      </c>
      <c r="G62" s="212">
        <f t="shared" si="9"/>
        <v>4.5315427290367598</v>
      </c>
      <c r="H62" s="212">
        <f t="shared" si="9"/>
        <v>4.5804814151548046</v>
      </c>
      <c r="I62" s="212">
        <f t="shared" si="9"/>
        <v>4.6292699474478241</v>
      </c>
      <c r="J62" s="212">
        <f t="shared" si="9"/>
        <v>4.7166538471467616</v>
      </c>
      <c r="K62" s="212">
        <f t="shared" si="9"/>
        <v>4.7651287816680563</v>
      </c>
      <c r="L62" s="212">
        <f t="shared" si="9"/>
        <v>4.8134405754570002</v>
      </c>
      <c r="M62" s="212">
        <f t="shared" si="9"/>
        <v>4.8383352208847112</v>
      </c>
      <c r="N62" s="212">
        <f t="shared" si="9"/>
        <v>4.8630588891386939</v>
      </c>
      <c r="O62" s="212">
        <f t="shared" si="9"/>
        <v>4.8876079410426119</v>
      </c>
      <c r="P62" s="212">
        <f t="shared" si="9"/>
        <v>4.9119789377368122</v>
      </c>
      <c r="Q62" s="212">
        <f t="shared" si="9"/>
        <v>4.9361686511480496</v>
      </c>
      <c r="R62" s="212">
        <f t="shared" si="9"/>
        <v>4.9601740741734854</v>
      </c>
      <c r="S62" s="212">
        <f t="shared" si="9"/>
        <v>4.9839924305021039</v>
      </c>
      <c r="T62" s="212">
        <f t="shared" si="9"/>
        <v>5.0076211839946776</v>
      </c>
      <c r="U62" s="212">
        <f t="shared" si="9"/>
        <v>5.0310580475428237</v>
      </c>
      <c r="V62" s="212">
        <f t="shared" si="10"/>
        <v>5.0543009913273682</v>
      </c>
      <c r="W62" s="137"/>
      <c r="X62" s="148"/>
      <c r="Y62" s="148"/>
      <c r="Z62" s="148"/>
      <c r="AA62" s="148"/>
      <c r="AB62" s="148"/>
      <c r="AC62" s="149"/>
      <c r="AD62" s="149"/>
      <c r="AE62" s="138">
        <f t="shared" si="2"/>
        <v>0</v>
      </c>
      <c r="AF62" s="139">
        <v>15</v>
      </c>
      <c r="AG62" s="140">
        <v>46</v>
      </c>
      <c r="AI62" s="141">
        <v>10.4</v>
      </c>
      <c r="AJ62" s="142"/>
    </row>
    <row r="63" spans="1:36" ht="12.75" customHeight="1">
      <c r="A63" s="143">
        <f t="shared" si="7"/>
        <v>46</v>
      </c>
      <c r="B63" s="135"/>
      <c r="C63" s="212">
        <f t="shared" si="9"/>
        <v>3.8780885058006005</v>
      </c>
      <c r="D63" s="212">
        <f t="shared" si="9"/>
        <v>4.1251143370275045</v>
      </c>
      <c r="E63" s="212">
        <f t="shared" si="9"/>
        <v>4.3720179119463314</v>
      </c>
      <c r="F63" s="212">
        <f t="shared" si="9"/>
        <v>4.4607946030932828</v>
      </c>
      <c r="G63" s="212">
        <f t="shared" si="9"/>
        <v>4.549439880434309</v>
      </c>
      <c r="H63" s="212">
        <f t="shared" si="9"/>
        <v>4.5984493208111514</v>
      </c>
      <c r="I63" s="212">
        <f t="shared" si="9"/>
        <v>4.6473186176179695</v>
      </c>
      <c r="J63" s="212">
        <f t="shared" si="9"/>
        <v>4.7355435906703116</v>
      </c>
      <c r="K63" s="212">
        <f t="shared" si="9"/>
        <v>4.7841201962235207</v>
      </c>
      <c r="L63" s="212">
        <f t="shared" si="9"/>
        <v>4.8325445370932005</v>
      </c>
      <c r="M63" s="212">
        <f t="shared" si="9"/>
        <v>4.8571128728257307</v>
      </c>
      <c r="N63" s="212">
        <f t="shared" si="9"/>
        <v>4.8815216298627817</v>
      </c>
      <c r="O63" s="212">
        <f t="shared" si="9"/>
        <v>4.905767411639772</v>
      </c>
      <c r="P63" s="212">
        <f t="shared" si="9"/>
        <v>4.9298470085543578</v>
      </c>
      <c r="Q63" s="212">
        <f t="shared" si="9"/>
        <v>4.9537574077381805</v>
      </c>
      <c r="R63" s="212">
        <f t="shared" si="9"/>
        <v>4.9774958025619203</v>
      </c>
      <c r="S63" s="212">
        <f t="shared" si="9"/>
        <v>5.0010596018019626</v>
      </c>
      <c r="T63" s="212">
        <f t="shared" si="9"/>
        <v>5.0244464383950325</v>
      </c>
      <c r="U63" s="212">
        <f t="shared" si="9"/>
        <v>5.0476541777066357</v>
      </c>
      <c r="V63" s="212">
        <f t="shared" si="10"/>
        <v>5.0706809252388769</v>
      </c>
      <c r="W63" s="137"/>
      <c r="X63" s="148"/>
      <c r="Y63" s="148"/>
      <c r="Z63" s="148"/>
      <c r="AA63" s="148"/>
      <c r="AB63" s="148"/>
      <c r="AC63" s="149"/>
      <c r="AD63" s="149"/>
      <c r="AE63" s="138">
        <f t="shared" si="2"/>
        <v>0</v>
      </c>
      <c r="AF63" s="139">
        <v>16</v>
      </c>
      <c r="AG63" s="140">
        <v>47</v>
      </c>
      <c r="AI63" s="141">
        <v>10.4</v>
      </c>
      <c r="AJ63" s="142"/>
    </row>
    <row r="64" spans="1:36" ht="12.75" customHeight="1">
      <c r="A64" s="143">
        <f t="shared" si="7"/>
        <v>47</v>
      </c>
      <c r="B64" s="135"/>
      <c r="C64" s="212">
        <f t="shared" si="9"/>
        <v>3.8867964696719866</v>
      </c>
      <c r="D64" s="212">
        <f t="shared" si="9"/>
        <v>4.1376061700969684</v>
      </c>
      <c r="E64" s="212">
        <f t="shared" si="9"/>
        <v>4.3883023468073077</v>
      </c>
      <c r="F64" s="212">
        <f t="shared" si="9"/>
        <v>4.4778807028723344</v>
      </c>
      <c r="G64" s="212">
        <f t="shared" si="9"/>
        <v>4.5673370318318591</v>
      </c>
      <c r="H64" s="212">
        <f t="shared" si="9"/>
        <v>4.6164172264674974</v>
      </c>
      <c r="I64" s="212">
        <f t="shared" si="9"/>
        <v>4.665367287788114</v>
      </c>
      <c r="J64" s="212">
        <f t="shared" si="9"/>
        <v>4.7544333341938607</v>
      </c>
      <c r="K64" s="212">
        <f t="shared" si="9"/>
        <v>4.8031116107789824</v>
      </c>
      <c r="L64" s="212">
        <f t="shared" si="9"/>
        <v>4.8516484987294</v>
      </c>
      <c r="M64" s="212">
        <f t="shared" si="9"/>
        <v>4.875890524766751</v>
      </c>
      <c r="N64" s="212">
        <f t="shared" si="9"/>
        <v>4.8999843705868686</v>
      </c>
      <c r="O64" s="212">
        <f t="shared" si="9"/>
        <v>4.9239268822369313</v>
      </c>
      <c r="P64" s="212">
        <f t="shared" si="9"/>
        <v>4.9477150793719034</v>
      </c>
      <c r="Q64" s="212">
        <f t="shared" si="9"/>
        <v>4.9713461643283097</v>
      </c>
      <c r="R64" s="212">
        <f t="shared" si="9"/>
        <v>4.9948175309503551</v>
      </c>
      <c r="S64" s="212">
        <f t="shared" si="9"/>
        <v>5.0181267731018222</v>
      </c>
      <c r="T64" s="212">
        <f t="shared" si="9"/>
        <v>5.0412716927953864</v>
      </c>
      <c r="U64" s="212">
        <f t="shared" si="9"/>
        <v>5.0642503078704468</v>
      </c>
      <c r="V64" s="212">
        <f t="shared" si="10"/>
        <v>5.0870608591503865</v>
      </c>
      <c r="W64" s="137"/>
      <c r="X64" s="148"/>
      <c r="Y64" s="148"/>
      <c r="Z64" s="148"/>
      <c r="AA64" s="148"/>
      <c r="AB64" s="148"/>
      <c r="AC64" s="149"/>
      <c r="AD64" s="149"/>
      <c r="AE64" s="138">
        <f t="shared" si="2"/>
        <v>0</v>
      </c>
      <c r="AF64" s="139">
        <v>17</v>
      </c>
      <c r="AG64" s="140">
        <v>48</v>
      </c>
      <c r="AI64" s="141">
        <v>10.4</v>
      </c>
      <c r="AJ64" s="142"/>
    </row>
    <row r="65" spans="1:36" ht="12.75" customHeight="1">
      <c r="A65" s="143">
        <f t="shared" si="7"/>
        <v>48</v>
      </c>
      <c r="B65" s="135"/>
      <c r="C65" s="212">
        <f t="shared" si="9"/>
        <v>3.8955044335433717</v>
      </c>
      <c r="D65" s="212">
        <f t="shared" si="9"/>
        <v>4.1500980031664323</v>
      </c>
      <c r="E65" s="212">
        <f t="shared" si="9"/>
        <v>4.404586781668284</v>
      </c>
      <c r="F65" s="212">
        <f t="shared" si="9"/>
        <v>4.4949668026513852</v>
      </c>
      <c r="G65" s="212">
        <f t="shared" si="9"/>
        <v>4.5852341832294075</v>
      </c>
      <c r="H65" s="212">
        <f t="shared" si="9"/>
        <v>4.6343851321238443</v>
      </c>
      <c r="I65" s="212">
        <f t="shared" si="9"/>
        <v>4.6834159579582586</v>
      </c>
      <c r="J65" s="212">
        <f t="shared" si="9"/>
        <v>4.7733230777174098</v>
      </c>
      <c r="K65" s="212">
        <f t="shared" si="9"/>
        <v>4.8221030253344459</v>
      </c>
      <c r="L65" s="212">
        <f t="shared" si="9"/>
        <v>4.8707524603655994</v>
      </c>
      <c r="M65" s="212">
        <f t="shared" si="9"/>
        <v>4.8946681767077695</v>
      </c>
      <c r="N65" s="212">
        <f t="shared" si="9"/>
        <v>4.9184471113109556</v>
      </c>
      <c r="O65" s="212">
        <f t="shared" si="9"/>
        <v>4.9420863528340906</v>
      </c>
      <c r="P65" s="212">
        <f t="shared" si="9"/>
        <v>4.9655831501894498</v>
      </c>
      <c r="Q65" s="212">
        <f t="shared" si="9"/>
        <v>4.9889349209184406</v>
      </c>
      <c r="R65" s="212">
        <f t="shared" si="9"/>
        <v>5.0121392593387899</v>
      </c>
      <c r="S65" s="212">
        <f t="shared" si="9"/>
        <v>5.0351939444016827</v>
      </c>
      <c r="T65" s="212">
        <f t="shared" si="9"/>
        <v>5.0580969471957413</v>
      </c>
      <c r="U65" s="212">
        <f t="shared" si="9"/>
        <v>5.0808464380342588</v>
      </c>
      <c r="V65" s="212">
        <f t="shared" si="10"/>
        <v>5.1034407930618944</v>
      </c>
      <c r="W65" s="137"/>
      <c r="X65" s="148"/>
      <c r="Y65" s="148"/>
      <c r="Z65" s="148"/>
      <c r="AA65" s="148"/>
      <c r="AB65" s="148"/>
      <c r="AC65" s="149"/>
      <c r="AD65" s="149"/>
      <c r="AE65" s="138">
        <f t="shared" si="2"/>
        <v>0</v>
      </c>
      <c r="AF65" s="139">
        <v>18</v>
      </c>
      <c r="AG65" s="140">
        <v>49</v>
      </c>
      <c r="AI65" s="141">
        <v>10.4</v>
      </c>
      <c r="AJ65" s="142"/>
    </row>
    <row r="66" spans="1:36" ht="12.75" customHeight="1">
      <c r="A66" s="134">
        <f t="shared" si="7"/>
        <v>49</v>
      </c>
      <c r="B66" s="135"/>
      <c r="C66" s="213">
        <f t="shared" si="9"/>
        <v>3.9042123974147573</v>
      </c>
      <c r="D66" s="213">
        <f t="shared" si="9"/>
        <v>4.1625898362358971</v>
      </c>
      <c r="E66" s="213">
        <f t="shared" si="9"/>
        <v>4.4208712165292603</v>
      </c>
      <c r="F66" s="213">
        <f t="shared" si="9"/>
        <v>4.5120529024304368</v>
      </c>
      <c r="G66" s="213">
        <f t="shared" si="9"/>
        <v>4.6031313346269567</v>
      </c>
      <c r="H66" s="213">
        <f t="shared" si="9"/>
        <v>4.6523530377801903</v>
      </c>
      <c r="I66" s="213">
        <f t="shared" si="9"/>
        <v>4.701464628128404</v>
      </c>
      <c r="J66" s="213">
        <f t="shared" si="9"/>
        <v>4.7922128212409589</v>
      </c>
      <c r="K66" s="213">
        <f t="shared" si="9"/>
        <v>4.8410944398899085</v>
      </c>
      <c r="L66" s="213">
        <f t="shared" si="9"/>
        <v>4.8898564220018006</v>
      </c>
      <c r="M66" s="213">
        <f t="shared" si="9"/>
        <v>4.9134458286487881</v>
      </c>
      <c r="N66" s="213">
        <f t="shared" si="9"/>
        <v>4.9369098520350425</v>
      </c>
      <c r="O66" s="213">
        <f t="shared" si="9"/>
        <v>4.960245823431249</v>
      </c>
      <c r="P66" s="213">
        <f t="shared" si="9"/>
        <v>4.9834512210069954</v>
      </c>
      <c r="Q66" s="213">
        <f t="shared" si="9"/>
        <v>5.0065236775085706</v>
      </c>
      <c r="R66" s="213">
        <f t="shared" si="9"/>
        <v>5.0294609877272238</v>
      </c>
      <c r="S66" s="213">
        <f t="shared" si="9"/>
        <v>5.0522611157015422</v>
      </c>
      <c r="T66" s="213">
        <f t="shared" si="9"/>
        <v>5.0749222015960971</v>
      </c>
      <c r="U66" s="213">
        <f t="shared" si="9"/>
        <v>5.0974425681980708</v>
      </c>
      <c r="V66" s="213">
        <f t="shared" si="10"/>
        <v>5.1198207269734031</v>
      </c>
      <c r="W66" s="137"/>
      <c r="X66" s="148"/>
      <c r="Y66" s="148"/>
      <c r="Z66" s="148"/>
      <c r="AA66" s="148"/>
      <c r="AB66" s="148"/>
      <c r="AC66" s="149"/>
      <c r="AD66" s="149"/>
      <c r="AE66" s="138">
        <f t="shared" si="2"/>
        <v>0</v>
      </c>
      <c r="AF66" s="139">
        <v>19</v>
      </c>
      <c r="AG66" s="140">
        <v>50</v>
      </c>
      <c r="AI66" s="141">
        <v>10.4</v>
      </c>
      <c r="AJ66" s="142"/>
    </row>
    <row r="67" spans="1:36" ht="12.75" customHeight="1">
      <c r="A67" s="143">
        <f t="shared" si="7"/>
        <v>50</v>
      </c>
      <c r="B67" s="135"/>
      <c r="C67" s="212">
        <f t="shared" si="9"/>
        <v>3.912920361286143</v>
      </c>
      <c r="D67" s="212">
        <f t="shared" si="9"/>
        <v>4.175081669305361</v>
      </c>
      <c r="E67" s="212">
        <f t="shared" si="9"/>
        <v>4.4371556513902366</v>
      </c>
      <c r="F67" s="212">
        <f t="shared" si="9"/>
        <v>4.5291390022094884</v>
      </c>
      <c r="G67" s="212">
        <f t="shared" si="9"/>
        <v>4.6210284860245068</v>
      </c>
      <c r="H67" s="212">
        <f t="shared" si="9"/>
        <v>4.6703209434365363</v>
      </c>
      <c r="I67" s="212">
        <f t="shared" si="9"/>
        <v>4.7195132982985495</v>
      </c>
      <c r="J67" s="212">
        <f t="shared" si="9"/>
        <v>4.811102564764508</v>
      </c>
      <c r="K67" s="212">
        <f t="shared" si="9"/>
        <v>4.8600858544453711</v>
      </c>
      <c r="L67" s="212">
        <f t="shared" si="9"/>
        <v>4.908960383638</v>
      </c>
      <c r="M67" s="212">
        <f t="shared" si="9"/>
        <v>4.9322234805898075</v>
      </c>
      <c r="N67" s="212">
        <f t="shared" si="9"/>
        <v>4.9553725927591303</v>
      </c>
      <c r="O67" s="212">
        <f t="shared" si="9"/>
        <v>4.9784052940284083</v>
      </c>
      <c r="P67" s="212">
        <f t="shared" si="9"/>
        <v>5.001319291824541</v>
      </c>
      <c r="Q67" s="212">
        <f t="shared" si="9"/>
        <v>5.0241124340986998</v>
      </c>
      <c r="R67" s="212">
        <f t="shared" si="9"/>
        <v>5.0467827161156578</v>
      </c>
      <c r="S67" s="212">
        <f t="shared" si="9"/>
        <v>5.0693282870014027</v>
      </c>
      <c r="T67" s="212">
        <f t="shared" si="9"/>
        <v>5.091747455996452</v>
      </c>
      <c r="U67" s="212">
        <f t="shared" si="9"/>
        <v>5.1140386983618829</v>
      </c>
      <c r="V67" s="212">
        <f t="shared" si="10"/>
        <v>5.1362006608849118</v>
      </c>
      <c r="W67" s="137"/>
      <c r="X67" s="148"/>
      <c r="Y67" s="148"/>
      <c r="Z67" s="148"/>
      <c r="AA67" s="148"/>
      <c r="AB67" s="148"/>
      <c r="AC67" s="149"/>
      <c r="AD67" s="149"/>
      <c r="AE67" s="142"/>
      <c r="AF67" s="139">
        <v>0</v>
      </c>
      <c r="AG67" s="140">
        <v>51</v>
      </c>
      <c r="AI67" s="141">
        <v>10.4</v>
      </c>
      <c r="AJ67" s="142"/>
    </row>
    <row r="68" spans="1:36" ht="12.75" customHeight="1">
      <c r="A68" s="143">
        <f t="shared" si="7"/>
        <v>51</v>
      </c>
      <c r="B68" s="135"/>
      <c r="C68" s="212">
        <f t="shared" si="9"/>
        <v>3.921628325157529</v>
      </c>
      <c r="D68" s="212">
        <f t="shared" si="9"/>
        <v>4.1875735023748248</v>
      </c>
      <c r="E68" s="212">
        <f t="shared" si="9"/>
        <v>4.4534400862512129</v>
      </c>
      <c r="F68" s="212">
        <f t="shared" si="9"/>
        <v>4.5462251019885391</v>
      </c>
      <c r="G68" s="212">
        <f t="shared" si="9"/>
        <v>4.638925637422056</v>
      </c>
      <c r="H68" s="212">
        <f t="shared" si="9"/>
        <v>4.6882888490928831</v>
      </c>
      <c r="I68" s="212">
        <f t="shared" si="9"/>
        <v>4.7375619684686949</v>
      </c>
      <c r="J68" s="212">
        <f t="shared" si="9"/>
        <v>4.8299923082880571</v>
      </c>
      <c r="K68" s="212">
        <f t="shared" si="9"/>
        <v>4.8790772690008346</v>
      </c>
      <c r="L68" s="212">
        <f t="shared" si="9"/>
        <v>4.9280643452741995</v>
      </c>
      <c r="M68" s="212">
        <f t="shared" si="9"/>
        <v>4.951001132530827</v>
      </c>
      <c r="N68" s="212">
        <f t="shared" si="9"/>
        <v>4.9738353334832173</v>
      </c>
      <c r="O68" s="212">
        <f t="shared" si="9"/>
        <v>4.9965647646255675</v>
      </c>
      <c r="P68" s="212">
        <f t="shared" si="9"/>
        <v>5.0191873626420875</v>
      </c>
      <c r="Q68" s="212">
        <f t="shared" si="9"/>
        <v>5.0417011906888307</v>
      </c>
      <c r="R68" s="212">
        <f t="shared" si="9"/>
        <v>5.0641044445040917</v>
      </c>
      <c r="S68" s="212">
        <f t="shared" si="9"/>
        <v>5.0863954583012623</v>
      </c>
      <c r="T68" s="212">
        <f t="shared" si="9"/>
        <v>5.1085727103968068</v>
      </c>
      <c r="U68" s="212">
        <f t="shared" si="9"/>
        <v>5.1306348285256949</v>
      </c>
      <c r="V68" s="212">
        <f t="shared" si="10"/>
        <v>5.1525805947964205</v>
      </c>
      <c r="W68" s="137"/>
      <c r="X68" s="148"/>
      <c r="Y68" s="148"/>
      <c r="Z68" s="148"/>
      <c r="AA68" s="148"/>
      <c r="AB68" s="148"/>
      <c r="AC68" s="149"/>
      <c r="AD68" s="149"/>
      <c r="AE68" s="142"/>
      <c r="AF68" s="139">
        <v>1</v>
      </c>
      <c r="AG68" s="140">
        <v>52</v>
      </c>
      <c r="AI68" s="141">
        <v>10.4</v>
      </c>
      <c r="AJ68" s="142"/>
    </row>
    <row r="69" spans="1:36" ht="12.75" customHeight="1">
      <c r="A69" s="143">
        <f t="shared" si="7"/>
        <v>52</v>
      </c>
      <c r="B69" s="135"/>
      <c r="C69" s="212">
        <f t="shared" si="9"/>
        <v>3.9303362890289142</v>
      </c>
      <c r="D69" s="212">
        <f t="shared" si="9"/>
        <v>4.2000653354442878</v>
      </c>
      <c r="E69" s="212">
        <f t="shared" si="9"/>
        <v>4.4697245211121892</v>
      </c>
      <c r="F69" s="212">
        <f t="shared" si="9"/>
        <v>4.5633112017675908</v>
      </c>
      <c r="G69" s="212">
        <f t="shared" si="9"/>
        <v>4.6568227888196052</v>
      </c>
      <c r="H69" s="212">
        <f t="shared" si="9"/>
        <v>4.7062567547492291</v>
      </c>
      <c r="I69" s="212">
        <f t="shared" si="9"/>
        <v>4.7556106386388395</v>
      </c>
      <c r="J69" s="212">
        <f t="shared" si="9"/>
        <v>4.8488820518116063</v>
      </c>
      <c r="K69" s="212">
        <f t="shared" si="9"/>
        <v>4.8980686835562981</v>
      </c>
      <c r="L69" s="212">
        <f t="shared" si="9"/>
        <v>4.9471683069104007</v>
      </c>
      <c r="M69" s="212">
        <f t="shared" si="9"/>
        <v>4.9697787844718464</v>
      </c>
      <c r="N69" s="212">
        <f t="shared" si="9"/>
        <v>4.9922980742073033</v>
      </c>
      <c r="O69" s="212">
        <f t="shared" si="9"/>
        <v>5.0147242352227268</v>
      </c>
      <c r="P69" s="212">
        <f t="shared" si="9"/>
        <v>5.0370554334596331</v>
      </c>
      <c r="Q69" s="212">
        <f t="shared" si="9"/>
        <v>5.0592899472789608</v>
      </c>
      <c r="R69" s="212">
        <f t="shared" si="9"/>
        <v>5.0814261728925256</v>
      </c>
      <c r="S69" s="212">
        <f t="shared" si="9"/>
        <v>5.1034626296011218</v>
      </c>
      <c r="T69" s="212">
        <f t="shared" si="9"/>
        <v>5.1253979647971608</v>
      </c>
      <c r="U69" s="212">
        <f t="shared" si="9"/>
        <v>5.147230958689506</v>
      </c>
      <c r="V69" s="212">
        <f t="shared" si="10"/>
        <v>5.1689605287079292</v>
      </c>
      <c r="W69" s="137"/>
      <c r="X69" s="148"/>
      <c r="Y69" s="148"/>
      <c r="Z69" s="148"/>
      <c r="AA69" s="148"/>
      <c r="AB69" s="148"/>
      <c r="AC69" s="149"/>
      <c r="AD69" s="149"/>
      <c r="AE69" s="142"/>
      <c r="AF69" s="139">
        <v>2</v>
      </c>
      <c r="AG69" s="140">
        <v>53</v>
      </c>
      <c r="AI69" s="141">
        <v>10.4</v>
      </c>
      <c r="AJ69" s="142"/>
    </row>
    <row r="70" spans="1:36" ht="12.75" customHeight="1">
      <c r="A70" s="143">
        <f t="shared" si="7"/>
        <v>53</v>
      </c>
      <c r="B70" s="135"/>
      <c r="C70" s="212">
        <f t="shared" si="9"/>
        <v>3.9390442529003002</v>
      </c>
      <c r="D70" s="212">
        <f t="shared" si="9"/>
        <v>4.2125571685137526</v>
      </c>
      <c r="E70" s="212">
        <f t="shared" si="9"/>
        <v>4.4860089559731655</v>
      </c>
      <c r="F70" s="212">
        <f t="shared" si="9"/>
        <v>4.5803973015466415</v>
      </c>
      <c r="G70" s="212">
        <f t="shared" si="9"/>
        <v>4.6747199402171544</v>
      </c>
      <c r="H70" s="212">
        <f t="shared" si="9"/>
        <v>4.724224660405576</v>
      </c>
      <c r="I70" s="212">
        <f t="shared" si="9"/>
        <v>4.7736593088089849</v>
      </c>
      <c r="J70" s="212">
        <f t="shared" si="9"/>
        <v>4.8677717953351562</v>
      </c>
      <c r="K70" s="212">
        <f t="shared" si="9"/>
        <v>4.9170600981117598</v>
      </c>
      <c r="L70" s="212">
        <f t="shared" si="9"/>
        <v>4.9662722685466001</v>
      </c>
      <c r="M70" s="212">
        <f t="shared" si="9"/>
        <v>4.9885564364128658</v>
      </c>
      <c r="N70" s="212">
        <f t="shared" si="9"/>
        <v>5.0107608149313911</v>
      </c>
      <c r="O70" s="212">
        <f t="shared" si="9"/>
        <v>5.0328837058198861</v>
      </c>
      <c r="P70" s="212">
        <f t="shared" si="9"/>
        <v>5.0549235042771787</v>
      </c>
      <c r="Q70" s="212">
        <f t="shared" si="9"/>
        <v>5.0768787038690899</v>
      </c>
      <c r="R70" s="212">
        <f t="shared" si="9"/>
        <v>5.0987479012809604</v>
      </c>
      <c r="S70" s="212">
        <f t="shared" si="9"/>
        <v>5.1205298009009814</v>
      </c>
      <c r="T70" s="212">
        <f t="shared" si="9"/>
        <v>5.1422232191975157</v>
      </c>
      <c r="U70" s="212">
        <f t="shared" si="9"/>
        <v>5.163827088853318</v>
      </c>
      <c r="V70" s="212">
        <f t="shared" si="10"/>
        <v>5.1853404626194379</v>
      </c>
      <c r="W70" s="137"/>
      <c r="X70" s="148"/>
      <c r="Y70" s="148"/>
      <c r="Z70" s="148"/>
      <c r="AA70" s="148"/>
      <c r="AB70" s="148"/>
      <c r="AC70" s="149"/>
      <c r="AD70" s="149"/>
      <c r="AE70" s="142"/>
      <c r="AF70" s="139">
        <v>3</v>
      </c>
      <c r="AG70" s="140">
        <v>54</v>
      </c>
      <c r="AI70" s="141">
        <v>10.4</v>
      </c>
      <c r="AJ70" s="142"/>
    </row>
    <row r="71" spans="1:36" ht="12.75" customHeight="1">
      <c r="A71" s="143">
        <f t="shared" si="7"/>
        <v>54</v>
      </c>
      <c r="B71" s="135"/>
      <c r="C71" s="212">
        <f t="shared" si="9"/>
        <v>3.9477522167716854</v>
      </c>
      <c r="D71" s="212">
        <f t="shared" si="9"/>
        <v>4.2250490015832165</v>
      </c>
      <c r="E71" s="212">
        <f t="shared" si="9"/>
        <v>4.5022933908341418</v>
      </c>
      <c r="F71" s="212">
        <f t="shared" si="9"/>
        <v>4.5974834013256922</v>
      </c>
      <c r="G71" s="212">
        <f t="shared" si="9"/>
        <v>4.6926170916147045</v>
      </c>
      <c r="H71" s="212">
        <f t="shared" si="9"/>
        <v>4.742192566061922</v>
      </c>
      <c r="I71" s="212">
        <f t="shared" si="9"/>
        <v>4.7917079789791304</v>
      </c>
      <c r="J71" s="212">
        <f t="shared" si="9"/>
        <v>4.8866615388587054</v>
      </c>
      <c r="K71" s="212">
        <f t="shared" ref="C71:U76" si="11">(($A71-$A$57)*K$77+($A$77-$A71)*K$57)/($A$77-$A$57)</f>
        <v>4.9360515126672242</v>
      </c>
      <c r="L71" s="212">
        <f t="shared" si="11"/>
        <v>4.9853762301827995</v>
      </c>
      <c r="M71" s="212">
        <f t="shared" si="11"/>
        <v>5.0073340883538844</v>
      </c>
      <c r="N71" s="212">
        <f t="shared" si="11"/>
        <v>5.029223555655479</v>
      </c>
      <c r="O71" s="212">
        <f t="shared" si="11"/>
        <v>5.0510431764170454</v>
      </c>
      <c r="P71" s="212">
        <f t="shared" si="11"/>
        <v>5.0727915750947243</v>
      </c>
      <c r="Q71" s="212">
        <f t="shared" si="11"/>
        <v>5.0944674604592199</v>
      </c>
      <c r="R71" s="212">
        <f t="shared" si="11"/>
        <v>5.1160696296693953</v>
      </c>
      <c r="S71" s="212">
        <f t="shared" si="11"/>
        <v>5.137596972200841</v>
      </c>
      <c r="T71" s="212">
        <f t="shared" si="11"/>
        <v>5.1590484735978706</v>
      </c>
      <c r="U71" s="212">
        <f t="shared" si="11"/>
        <v>5.1804232190171291</v>
      </c>
      <c r="V71" s="212">
        <f t="shared" si="10"/>
        <v>5.2017203965309475</v>
      </c>
      <c r="W71" s="137"/>
      <c r="X71" s="148"/>
      <c r="Y71" s="148"/>
      <c r="Z71" s="148"/>
      <c r="AA71" s="148"/>
      <c r="AB71" s="148"/>
      <c r="AC71" s="149"/>
      <c r="AD71" s="149"/>
      <c r="AE71" s="142"/>
      <c r="AF71" s="139">
        <v>4</v>
      </c>
      <c r="AG71" s="140">
        <v>55</v>
      </c>
      <c r="AI71" s="141">
        <v>10.4</v>
      </c>
      <c r="AJ71" s="142"/>
    </row>
    <row r="72" spans="1:36" ht="12.75" customHeight="1">
      <c r="A72" s="143">
        <f t="shared" si="7"/>
        <v>55</v>
      </c>
      <c r="B72" s="135"/>
      <c r="C72" s="212">
        <f t="shared" si="11"/>
        <v>3.9564601806430715</v>
      </c>
      <c r="D72" s="212">
        <f t="shared" si="11"/>
        <v>4.2375408346526804</v>
      </c>
      <c r="E72" s="212">
        <f t="shared" si="11"/>
        <v>4.5185778256951181</v>
      </c>
      <c r="F72" s="212">
        <f t="shared" si="11"/>
        <v>4.6145695011047438</v>
      </c>
      <c r="G72" s="212">
        <f t="shared" si="11"/>
        <v>4.7105142430122537</v>
      </c>
      <c r="H72" s="212">
        <f t="shared" si="11"/>
        <v>4.7601604717182688</v>
      </c>
      <c r="I72" s="212">
        <f t="shared" si="11"/>
        <v>4.809756649149274</v>
      </c>
      <c r="J72" s="212">
        <f t="shared" si="11"/>
        <v>4.9055512823822536</v>
      </c>
      <c r="K72" s="212">
        <f t="shared" si="11"/>
        <v>4.9550429272226868</v>
      </c>
      <c r="L72" s="212">
        <f t="shared" si="11"/>
        <v>5.0044801918190007</v>
      </c>
      <c r="M72" s="212">
        <f t="shared" si="11"/>
        <v>5.0261117402949038</v>
      </c>
      <c r="N72" s="212">
        <f t="shared" si="11"/>
        <v>5.047686296379565</v>
      </c>
      <c r="O72" s="212">
        <f t="shared" si="11"/>
        <v>5.0692026470142038</v>
      </c>
      <c r="P72" s="212">
        <f t="shared" si="11"/>
        <v>5.0906596459122699</v>
      </c>
      <c r="Q72" s="212">
        <f t="shared" si="11"/>
        <v>5.11205621704935</v>
      </c>
      <c r="R72" s="212">
        <f t="shared" si="11"/>
        <v>5.1333913580578301</v>
      </c>
      <c r="S72" s="212">
        <f t="shared" si="11"/>
        <v>5.1546641435007015</v>
      </c>
      <c r="T72" s="212">
        <f t="shared" si="11"/>
        <v>5.1758737279982254</v>
      </c>
      <c r="U72" s="212">
        <f t="shared" si="11"/>
        <v>5.1970193491809411</v>
      </c>
      <c r="V72" s="212">
        <f t="shared" si="10"/>
        <v>5.2181003304424562</v>
      </c>
      <c r="W72" s="137"/>
      <c r="AE72" s="142"/>
      <c r="AF72" s="139">
        <v>5</v>
      </c>
      <c r="AG72" s="140">
        <v>56</v>
      </c>
      <c r="AI72" s="141">
        <v>10.4</v>
      </c>
      <c r="AJ72" s="142"/>
    </row>
    <row r="73" spans="1:36" ht="12.75" customHeight="1">
      <c r="A73" s="143">
        <f t="shared" si="7"/>
        <v>56</v>
      </c>
      <c r="B73" s="135"/>
      <c r="C73" s="212">
        <f t="shared" si="11"/>
        <v>3.9651681445144575</v>
      </c>
      <c r="D73" s="212">
        <f t="shared" si="11"/>
        <v>4.2500326677221434</v>
      </c>
      <c r="E73" s="212">
        <f t="shared" si="11"/>
        <v>4.5348622605560944</v>
      </c>
      <c r="F73" s="212">
        <f t="shared" si="11"/>
        <v>4.6316556008837946</v>
      </c>
      <c r="G73" s="212">
        <f t="shared" si="11"/>
        <v>4.7284113944098021</v>
      </c>
      <c r="H73" s="212">
        <f t="shared" si="11"/>
        <v>4.7781283773746157</v>
      </c>
      <c r="I73" s="212">
        <f t="shared" si="11"/>
        <v>4.8278053193194195</v>
      </c>
      <c r="J73" s="212">
        <f t="shared" si="11"/>
        <v>4.9244410259058027</v>
      </c>
      <c r="K73" s="212">
        <f t="shared" si="11"/>
        <v>4.9740343417781485</v>
      </c>
      <c r="L73" s="212">
        <f t="shared" si="11"/>
        <v>5.0235841534551993</v>
      </c>
      <c r="M73" s="212">
        <f t="shared" si="11"/>
        <v>5.0448893922359233</v>
      </c>
      <c r="N73" s="212">
        <f t="shared" si="11"/>
        <v>5.0661490371036519</v>
      </c>
      <c r="O73" s="212">
        <f t="shared" si="11"/>
        <v>5.087362117611363</v>
      </c>
      <c r="P73" s="212">
        <f t="shared" si="11"/>
        <v>5.1085277167298155</v>
      </c>
      <c r="Q73" s="212">
        <f t="shared" si="11"/>
        <v>5.1296449736394809</v>
      </c>
      <c r="R73" s="212">
        <f t="shared" si="11"/>
        <v>5.150713086446264</v>
      </c>
      <c r="S73" s="212">
        <f t="shared" si="11"/>
        <v>5.171731314800561</v>
      </c>
      <c r="T73" s="212">
        <f t="shared" si="11"/>
        <v>5.1926989823985803</v>
      </c>
      <c r="U73" s="212">
        <f t="shared" si="11"/>
        <v>5.2136154793447531</v>
      </c>
      <c r="V73" s="212">
        <f t="shared" si="10"/>
        <v>5.234480264353965</v>
      </c>
      <c r="W73" s="137"/>
      <c r="AE73" s="142"/>
      <c r="AF73" s="139">
        <v>6</v>
      </c>
      <c r="AG73" s="140">
        <v>57</v>
      </c>
      <c r="AI73" s="141">
        <v>10.4</v>
      </c>
      <c r="AJ73" s="142"/>
    </row>
    <row r="74" spans="1:36" ht="12.75" customHeight="1">
      <c r="A74" s="143">
        <f t="shared" si="7"/>
        <v>57</v>
      </c>
      <c r="B74" s="135"/>
      <c r="C74" s="212">
        <f t="shared" si="11"/>
        <v>3.9738761083858427</v>
      </c>
      <c r="D74" s="212">
        <f t="shared" si="11"/>
        <v>4.2625245007916082</v>
      </c>
      <c r="E74" s="212">
        <f t="shared" si="11"/>
        <v>4.5511466954170707</v>
      </c>
      <c r="F74" s="212">
        <f t="shared" si="11"/>
        <v>4.6487417006628471</v>
      </c>
      <c r="G74" s="212">
        <f t="shared" si="11"/>
        <v>4.7463085458073513</v>
      </c>
      <c r="H74" s="212">
        <f t="shared" si="11"/>
        <v>4.7960962830309608</v>
      </c>
      <c r="I74" s="212">
        <f t="shared" si="11"/>
        <v>4.8458539894895649</v>
      </c>
      <c r="J74" s="212">
        <f t="shared" si="11"/>
        <v>4.9433307694293527</v>
      </c>
      <c r="K74" s="212">
        <f t="shared" si="11"/>
        <v>4.993025756333612</v>
      </c>
      <c r="L74" s="212">
        <f t="shared" si="11"/>
        <v>5.0426881150913996</v>
      </c>
      <c r="M74" s="212">
        <f t="shared" si="11"/>
        <v>5.0636670441769427</v>
      </c>
      <c r="N74" s="212">
        <f t="shared" si="11"/>
        <v>5.0846117778277398</v>
      </c>
      <c r="O74" s="212">
        <f t="shared" si="11"/>
        <v>5.1055215882085223</v>
      </c>
      <c r="P74" s="212">
        <f t="shared" si="11"/>
        <v>5.126395787547362</v>
      </c>
      <c r="Q74" s="212">
        <f t="shared" si="11"/>
        <v>5.1472337302296101</v>
      </c>
      <c r="R74" s="212">
        <f t="shared" si="11"/>
        <v>5.168034814834698</v>
      </c>
      <c r="S74" s="212">
        <f t="shared" si="11"/>
        <v>5.1887984861004206</v>
      </c>
      <c r="T74" s="212">
        <f t="shared" si="11"/>
        <v>5.2095242367989361</v>
      </c>
      <c r="U74" s="212">
        <f t="shared" si="11"/>
        <v>5.2302116095085651</v>
      </c>
      <c r="V74" s="212">
        <f t="shared" si="10"/>
        <v>5.2508601982654728</v>
      </c>
      <c r="W74" s="137"/>
      <c r="X74" s="150"/>
      <c r="Y74" s="150"/>
      <c r="Z74" s="150"/>
      <c r="AA74" s="150"/>
      <c r="AB74" s="150"/>
      <c r="AC74" s="150"/>
      <c r="AD74" s="150"/>
      <c r="AE74" s="142"/>
      <c r="AF74" s="139">
        <v>7</v>
      </c>
      <c r="AG74" s="140">
        <v>58</v>
      </c>
      <c r="AI74" s="141">
        <v>10.4</v>
      </c>
      <c r="AJ74" s="142"/>
    </row>
    <row r="75" spans="1:36" ht="12.75" customHeight="1">
      <c r="A75" s="143">
        <f t="shared" si="7"/>
        <v>58</v>
      </c>
      <c r="B75" s="135"/>
      <c r="C75" s="212">
        <f t="shared" si="11"/>
        <v>3.9825840722572288</v>
      </c>
      <c r="D75" s="212">
        <f t="shared" si="11"/>
        <v>4.275016333861072</v>
      </c>
      <c r="E75" s="212">
        <f t="shared" si="11"/>
        <v>4.567431130278047</v>
      </c>
      <c r="F75" s="212">
        <f t="shared" si="11"/>
        <v>4.6658278004418978</v>
      </c>
      <c r="G75" s="212">
        <f t="shared" si="11"/>
        <v>4.7642056972049005</v>
      </c>
      <c r="H75" s="212">
        <f t="shared" si="11"/>
        <v>4.8140641886873077</v>
      </c>
      <c r="I75" s="212">
        <f t="shared" si="11"/>
        <v>4.8639026596597095</v>
      </c>
      <c r="J75" s="212">
        <f t="shared" si="11"/>
        <v>4.9622205129529018</v>
      </c>
      <c r="K75" s="212">
        <f t="shared" si="11"/>
        <v>5.0120171708890746</v>
      </c>
      <c r="L75" s="212">
        <f t="shared" si="11"/>
        <v>5.0617920767275999</v>
      </c>
      <c r="M75" s="212">
        <f t="shared" si="11"/>
        <v>5.0824446961179621</v>
      </c>
      <c r="N75" s="212">
        <f t="shared" si="11"/>
        <v>5.1030745185518267</v>
      </c>
      <c r="O75" s="212">
        <f t="shared" si="11"/>
        <v>5.1236810588056816</v>
      </c>
      <c r="P75" s="212">
        <f t="shared" si="11"/>
        <v>5.1442638583649076</v>
      </c>
      <c r="Q75" s="212">
        <f t="shared" si="11"/>
        <v>5.1648224868197401</v>
      </c>
      <c r="R75" s="212">
        <f t="shared" si="11"/>
        <v>5.1853565432231319</v>
      </c>
      <c r="S75" s="212">
        <f t="shared" si="11"/>
        <v>5.2058656574002811</v>
      </c>
      <c r="T75" s="212">
        <f t="shared" si="11"/>
        <v>5.22634949119929</v>
      </c>
      <c r="U75" s="212">
        <f t="shared" si="11"/>
        <v>5.2468077396723771</v>
      </c>
      <c r="V75" s="212">
        <f t="shared" si="10"/>
        <v>5.2672401321769815</v>
      </c>
      <c r="W75" s="137"/>
      <c r="AE75" s="142"/>
      <c r="AF75" s="139">
        <v>8</v>
      </c>
      <c r="AG75" s="140">
        <v>59</v>
      </c>
      <c r="AI75" s="141">
        <v>10.4</v>
      </c>
      <c r="AJ75" s="142"/>
    </row>
    <row r="76" spans="1:36" ht="12.75" customHeight="1">
      <c r="A76" s="143">
        <f t="shared" si="7"/>
        <v>59</v>
      </c>
      <c r="B76" s="135"/>
      <c r="C76" s="212">
        <f t="shared" si="11"/>
        <v>3.9912920361286139</v>
      </c>
      <c r="D76" s="212">
        <f t="shared" si="11"/>
        <v>4.2875081669305359</v>
      </c>
      <c r="E76" s="212">
        <f t="shared" si="11"/>
        <v>4.5837155651390233</v>
      </c>
      <c r="F76" s="212">
        <f t="shared" si="11"/>
        <v>4.6829139002209486</v>
      </c>
      <c r="G76" s="212">
        <f t="shared" si="11"/>
        <v>4.7821028486024506</v>
      </c>
      <c r="H76" s="212">
        <f t="shared" si="11"/>
        <v>4.8320320943436545</v>
      </c>
      <c r="I76" s="212">
        <f t="shared" si="11"/>
        <v>4.8819513298298549</v>
      </c>
      <c r="J76" s="212">
        <f t="shared" si="11"/>
        <v>4.9811102564764509</v>
      </c>
      <c r="K76" s="212">
        <f t="shared" si="11"/>
        <v>5.0310085854445381</v>
      </c>
      <c r="L76" s="212">
        <f t="shared" si="11"/>
        <v>5.0808960383637993</v>
      </c>
      <c r="M76" s="212">
        <f t="shared" si="11"/>
        <v>5.1012223480589807</v>
      </c>
      <c r="N76" s="212">
        <f t="shared" si="11"/>
        <v>5.1215372592759136</v>
      </c>
      <c r="O76" s="212">
        <f t="shared" si="11"/>
        <v>5.1418405294028409</v>
      </c>
      <c r="P76" s="212">
        <f t="shared" si="11"/>
        <v>5.1621319291824532</v>
      </c>
      <c r="Q76" s="212">
        <f t="shared" si="11"/>
        <v>5.1824112434098701</v>
      </c>
      <c r="R76" s="212">
        <f t="shared" si="11"/>
        <v>5.2026782716115658</v>
      </c>
      <c r="S76" s="212">
        <f t="shared" si="11"/>
        <v>5.2229328287001398</v>
      </c>
      <c r="T76" s="212">
        <f t="shared" si="11"/>
        <v>5.2431747455996449</v>
      </c>
      <c r="U76" s="212">
        <f t="shared" si="11"/>
        <v>5.2634038698361882</v>
      </c>
      <c r="V76" s="212">
        <f t="shared" si="10"/>
        <v>5.2836200660884911</v>
      </c>
      <c r="W76" s="137"/>
      <c r="AE76" s="142"/>
      <c r="AF76" s="139">
        <v>9</v>
      </c>
      <c r="AG76" s="140">
        <v>60</v>
      </c>
      <c r="AI76" s="141">
        <v>10.4</v>
      </c>
      <c r="AJ76" s="142"/>
    </row>
    <row r="77" spans="1:36" ht="12.75" customHeight="1" thickBot="1">
      <c r="A77" s="151">
        <f t="shared" si="7"/>
        <v>60</v>
      </c>
      <c r="B77" s="143"/>
      <c r="C77" s="176">
        <f>C10</f>
        <v>4</v>
      </c>
      <c r="D77" s="176">
        <f t="shared" ref="D77:V77" si="12">D10</f>
        <v>4.3</v>
      </c>
      <c r="E77" s="176">
        <f t="shared" si="12"/>
        <v>4.5999999999999996</v>
      </c>
      <c r="F77" s="176">
        <f t="shared" si="12"/>
        <v>4.7</v>
      </c>
      <c r="G77" s="176">
        <f t="shared" si="12"/>
        <v>4.8</v>
      </c>
      <c r="H77" s="176">
        <f t="shared" si="12"/>
        <v>4.8500000000000005</v>
      </c>
      <c r="I77" s="176">
        <f t="shared" si="12"/>
        <v>4.9000000000000004</v>
      </c>
      <c r="J77" s="176">
        <f t="shared" si="12"/>
        <v>5</v>
      </c>
      <c r="K77" s="176">
        <f t="shared" si="12"/>
        <v>5.0500000000000007</v>
      </c>
      <c r="L77" s="176">
        <f t="shared" si="12"/>
        <v>5.0999999999999996</v>
      </c>
      <c r="M77" s="176">
        <f t="shared" si="12"/>
        <v>5.12</v>
      </c>
      <c r="N77" s="176">
        <f t="shared" si="12"/>
        <v>5.1400000000000006</v>
      </c>
      <c r="O77" s="176">
        <f t="shared" si="12"/>
        <v>5.16</v>
      </c>
      <c r="P77" s="176">
        <f t="shared" si="12"/>
        <v>5.18</v>
      </c>
      <c r="Q77" s="176">
        <f t="shared" si="12"/>
        <v>5.2</v>
      </c>
      <c r="R77" s="176">
        <f t="shared" si="12"/>
        <v>5.2200000000000006</v>
      </c>
      <c r="S77" s="176">
        <f t="shared" si="12"/>
        <v>5.24</v>
      </c>
      <c r="T77" s="176">
        <f t="shared" si="12"/>
        <v>5.26</v>
      </c>
      <c r="U77" s="176">
        <f t="shared" si="12"/>
        <v>5.28</v>
      </c>
      <c r="V77" s="176">
        <f t="shared" si="12"/>
        <v>5.3</v>
      </c>
      <c r="W77" s="137"/>
      <c r="AE77" s="142"/>
      <c r="AF77" s="139">
        <v>10</v>
      </c>
      <c r="AG77" s="5">
        <v>61</v>
      </c>
      <c r="AI77" s="141">
        <v>10.4</v>
      </c>
      <c r="AJ77" s="142"/>
    </row>
    <row r="78" spans="1:36" ht="5.25" customHeight="1">
      <c r="A78" s="42"/>
      <c r="B78" s="135"/>
      <c r="C78" s="135"/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46"/>
      <c r="AE78" s="142"/>
      <c r="AF78" s="142"/>
    </row>
    <row r="79" spans="1:36" ht="2.25" customHeight="1">
      <c r="A79" s="251"/>
      <c r="B79" s="251"/>
      <c r="C79" s="251"/>
      <c r="D79" s="251"/>
      <c r="E79" s="251"/>
      <c r="F79" s="251"/>
      <c r="G79" s="251"/>
      <c r="H79" s="251"/>
      <c r="I79" s="251"/>
      <c r="J79" s="251"/>
      <c r="K79" s="251"/>
      <c r="L79" s="251"/>
      <c r="M79" s="251"/>
      <c r="N79" s="251"/>
      <c r="O79" s="251"/>
      <c r="P79" s="251"/>
      <c r="Q79" s="251"/>
      <c r="R79" s="251"/>
      <c r="S79" s="251"/>
      <c r="T79" s="251"/>
      <c r="U79" s="251"/>
      <c r="V79" s="251"/>
      <c r="W79" s="251"/>
    </row>
    <row r="80" spans="1:36">
      <c r="A80" s="152"/>
    </row>
  </sheetData>
  <sheetProtection selectLockedCells="1"/>
  <mergeCells count="1">
    <mergeCell ref="A79:W79"/>
  </mergeCells>
  <phoneticPr fontId="2" type="noConversion"/>
  <printOptions horizontalCentered="1"/>
  <pageMargins left="0.25" right="0.25" top="0.5" bottom="0.25" header="0.15" footer="0.25"/>
  <pageSetup scale="56" orientation="landscape" horizontalDpi="1200" r:id="rId1"/>
  <headerFooter alignWithMargins="0">
    <oddHeader>&amp;R&amp;"Arial Narrow,Italic"&amp;8&amp;D</oddHeader>
    <oddFooter>&amp;L&amp;"Arial Narrow,Italic"&amp;8&amp;F&amp;R&amp;"Arial Narrow,Italic"&amp;8Page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4"/>
  <dimension ref="A1:E221"/>
  <sheetViews>
    <sheetView topLeftCell="D182" workbookViewId="0">
      <selection activeCell="D223" sqref="D223"/>
    </sheetView>
  </sheetViews>
  <sheetFormatPr defaultColWidth="11.42578125" defaultRowHeight="12.75"/>
  <cols>
    <col min="1" max="1" width="18.28515625" bestFit="1" customWidth="1"/>
    <col min="2" max="2" width="7.7109375" bestFit="1" customWidth="1"/>
    <col min="3" max="3" width="126.140625" bestFit="1" customWidth="1"/>
    <col min="4" max="4" width="111.140625" bestFit="1" customWidth="1"/>
  </cols>
  <sheetData>
    <row r="1" spans="1:5">
      <c r="A1" t="s">
        <v>347</v>
      </c>
      <c r="B1" t="s">
        <v>348</v>
      </c>
      <c r="C1" t="s">
        <v>349</v>
      </c>
      <c r="D1" t="s">
        <v>350</v>
      </c>
    </row>
    <row r="2" spans="1:5">
      <c r="A2" t="s">
        <v>315</v>
      </c>
      <c r="B2" t="s">
        <v>123</v>
      </c>
      <c r="C2" t="s">
        <v>52</v>
      </c>
      <c r="D2" s="229" t="s">
        <v>381</v>
      </c>
    </row>
    <row r="3" spans="1:5">
      <c r="A3" t="s">
        <v>315</v>
      </c>
      <c r="B3" t="s">
        <v>124</v>
      </c>
      <c r="C3" t="s">
        <v>1</v>
      </c>
      <c r="D3" s="229" t="s">
        <v>382</v>
      </c>
    </row>
    <row r="4" spans="1:5">
      <c r="A4" t="s">
        <v>315</v>
      </c>
      <c r="B4" t="s">
        <v>125</v>
      </c>
      <c r="C4" t="s">
        <v>36</v>
      </c>
      <c r="D4" s="229" t="s">
        <v>379</v>
      </c>
    </row>
    <row r="5" spans="1:5">
      <c r="A5" t="s">
        <v>315</v>
      </c>
      <c r="B5" t="s">
        <v>126</v>
      </c>
      <c r="C5" t="s">
        <v>0</v>
      </c>
      <c r="D5" s="229" t="s">
        <v>0</v>
      </c>
    </row>
    <row r="6" spans="1:5">
      <c r="A6" t="s">
        <v>315</v>
      </c>
      <c r="B6" t="s">
        <v>127</v>
      </c>
      <c r="C6" t="s">
        <v>50</v>
      </c>
      <c r="D6" t="s">
        <v>50</v>
      </c>
    </row>
    <row r="7" spans="1:5">
      <c r="A7" t="s">
        <v>315</v>
      </c>
      <c r="B7" t="s">
        <v>128</v>
      </c>
      <c r="C7" t="s">
        <v>40</v>
      </c>
      <c r="D7" t="s">
        <v>40</v>
      </c>
    </row>
    <row r="8" spans="1:5">
      <c r="A8" t="s">
        <v>315</v>
      </c>
      <c r="B8" t="s">
        <v>129</v>
      </c>
      <c r="C8" t="s">
        <v>41</v>
      </c>
      <c r="D8" t="s">
        <v>41</v>
      </c>
    </row>
    <row r="9" spans="1:5">
      <c r="A9" t="s">
        <v>315</v>
      </c>
      <c r="B9" t="s">
        <v>130</v>
      </c>
      <c r="C9" t="s">
        <v>49</v>
      </c>
      <c r="D9" t="s">
        <v>49</v>
      </c>
    </row>
    <row r="10" spans="1:5">
      <c r="A10" t="s">
        <v>315</v>
      </c>
      <c r="B10" s="216" t="s">
        <v>131</v>
      </c>
      <c r="C10" t="s">
        <v>33</v>
      </c>
      <c r="D10" s="235" t="s">
        <v>410</v>
      </c>
    </row>
    <row r="11" spans="1:5">
      <c r="A11" t="s">
        <v>315</v>
      </c>
      <c r="B11" t="s">
        <v>132</v>
      </c>
      <c r="C11" t="s">
        <v>34</v>
      </c>
      <c r="D11" s="229" t="s">
        <v>415</v>
      </c>
    </row>
    <row r="12" spans="1:5">
      <c r="A12" t="s">
        <v>315</v>
      </c>
      <c r="B12" t="s">
        <v>133</v>
      </c>
      <c r="C12" t="s">
        <v>25</v>
      </c>
      <c r="D12" s="229" t="s">
        <v>383</v>
      </c>
    </row>
    <row r="13" spans="1:5">
      <c r="A13" t="s">
        <v>315</v>
      </c>
      <c r="B13" t="s">
        <v>134</v>
      </c>
      <c r="C13" t="s">
        <v>34</v>
      </c>
      <c r="D13" s="229" t="s">
        <v>415</v>
      </c>
    </row>
    <row r="14" spans="1:5">
      <c r="A14" t="s">
        <v>315</v>
      </c>
      <c r="B14" t="s">
        <v>135</v>
      </c>
      <c r="C14" t="s">
        <v>26</v>
      </c>
      <c r="D14" s="229" t="s">
        <v>384</v>
      </c>
    </row>
    <row r="15" spans="1:5">
      <c r="A15" t="s">
        <v>315</v>
      </c>
      <c r="B15" t="s">
        <v>136</v>
      </c>
      <c r="C15" t="s">
        <v>35</v>
      </c>
      <c r="D15" s="229" t="s">
        <v>385</v>
      </c>
    </row>
    <row r="16" spans="1:5">
      <c r="A16" t="s">
        <v>316</v>
      </c>
      <c r="B16" t="s">
        <v>137</v>
      </c>
      <c r="C16" t="s">
        <v>92</v>
      </c>
      <c r="D16" s="235" t="s">
        <v>411</v>
      </c>
    </row>
    <row r="17" spans="1:4">
      <c r="A17" t="s">
        <v>316</v>
      </c>
      <c r="B17" t="s">
        <v>138</v>
      </c>
      <c r="C17" t="s">
        <v>110</v>
      </c>
      <c r="D17" t="s">
        <v>111</v>
      </c>
    </row>
    <row r="18" spans="1:4">
      <c r="A18" t="s">
        <v>316</v>
      </c>
      <c r="B18" t="s">
        <v>139</v>
      </c>
      <c r="C18" t="s">
        <v>109</v>
      </c>
      <c r="D18" t="s">
        <v>112</v>
      </c>
    </row>
    <row r="19" spans="1:4">
      <c r="A19" t="s">
        <v>317</v>
      </c>
      <c r="B19" t="s">
        <v>140</v>
      </c>
      <c r="C19" t="s">
        <v>108</v>
      </c>
      <c r="D19" s="233" t="s">
        <v>416</v>
      </c>
    </row>
    <row r="20" spans="1:4">
      <c r="A20" t="s">
        <v>317</v>
      </c>
      <c r="B20" t="s">
        <v>123</v>
      </c>
      <c r="C20" t="s">
        <v>90</v>
      </c>
      <c r="D20" s="231" t="s">
        <v>404</v>
      </c>
    </row>
    <row r="21" spans="1:4">
      <c r="A21" t="s">
        <v>317</v>
      </c>
      <c r="B21" t="s">
        <v>141</v>
      </c>
      <c r="C21" t="s">
        <v>24</v>
      </c>
      <c r="D21" s="228" t="s">
        <v>386</v>
      </c>
    </row>
    <row r="22" spans="1:4">
      <c r="A22" t="s">
        <v>317</v>
      </c>
      <c r="B22" t="s">
        <v>142</v>
      </c>
      <c r="C22" t="s">
        <v>79</v>
      </c>
      <c r="D22" t="s">
        <v>329</v>
      </c>
    </row>
    <row r="23" spans="1:4">
      <c r="A23" t="s">
        <v>317</v>
      </c>
      <c r="B23" t="s">
        <v>125</v>
      </c>
      <c r="C23" t="s">
        <v>80</v>
      </c>
      <c r="D23" t="s">
        <v>354</v>
      </c>
    </row>
    <row r="24" spans="1:4">
      <c r="A24" t="s">
        <v>317</v>
      </c>
      <c r="B24" t="s">
        <v>127</v>
      </c>
      <c r="C24" t="s">
        <v>81</v>
      </c>
      <c r="D24" t="s">
        <v>355</v>
      </c>
    </row>
    <row r="25" spans="1:4">
      <c r="A25" t="s">
        <v>317</v>
      </c>
      <c r="B25" t="s">
        <v>131</v>
      </c>
      <c r="C25" t="s">
        <v>82</v>
      </c>
      <c r="D25" t="s">
        <v>356</v>
      </c>
    </row>
    <row r="26" spans="1:4">
      <c r="A26" t="s">
        <v>317</v>
      </c>
      <c r="B26" t="s">
        <v>143</v>
      </c>
      <c r="C26" t="s">
        <v>83</v>
      </c>
      <c r="D26" t="s">
        <v>357</v>
      </c>
    </row>
    <row r="27" spans="1:4">
      <c r="A27" t="s">
        <v>317</v>
      </c>
      <c r="B27" t="s">
        <v>144</v>
      </c>
      <c r="C27" t="s">
        <v>84</v>
      </c>
      <c r="D27" t="s">
        <v>358</v>
      </c>
    </row>
    <row r="28" spans="1:4">
      <c r="A28" t="s">
        <v>317</v>
      </c>
      <c r="B28" t="s">
        <v>145</v>
      </c>
      <c r="C28" t="s">
        <v>85</v>
      </c>
      <c r="D28" t="s">
        <v>359</v>
      </c>
    </row>
    <row r="29" spans="1:4">
      <c r="A29" t="s">
        <v>317</v>
      </c>
      <c r="B29" t="s">
        <v>146</v>
      </c>
      <c r="C29" t="s">
        <v>86</v>
      </c>
      <c r="D29" t="s">
        <v>330</v>
      </c>
    </row>
    <row r="30" spans="1:4">
      <c r="A30" t="s">
        <v>317</v>
      </c>
      <c r="B30" t="s">
        <v>147</v>
      </c>
      <c r="C30" t="s">
        <v>88</v>
      </c>
      <c r="D30" t="s">
        <v>360</v>
      </c>
    </row>
    <row r="31" spans="1:4">
      <c r="A31" t="s">
        <v>317</v>
      </c>
      <c r="B31" t="s">
        <v>148</v>
      </c>
      <c r="C31" t="s">
        <v>87</v>
      </c>
      <c r="D31" t="s">
        <v>361</v>
      </c>
    </row>
    <row r="32" spans="1:4">
      <c r="A32" t="s">
        <v>317</v>
      </c>
      <c r="B32" t="s">
        <v>149</v>
      </c>
      <c r="C32" t="s">
        <v>72</v>
      </c>
      <c r="D32" s="231" t="s">
        <v>403</v>
      </c>
    </row>
    <row r="33" spans="1:4">
      <c r="A33" t="s">
        <v>317</v>
      </c>
      <c r="B33" t="s">
        <v>150</v>
      </c>
      <c r="C33" t="s">
        <v>24</v>
      </c>
      <c r="D33" s="227" t="s">
        <v>386</v>
      </c>
    </row>
    <row r="34" spans="1:4">
      <c r="A34" t="s">
        <v>317</v>
      </c>
      <c r="B34" t="s">
        <v>151</v>
      </c>
      <c r="C34" t="s">
        <v>113</v>
      </c>
      <c r="D34" s="231" t="s">
        <v>405</v>
      </c>
    </row>
    <row r="35" spans="1:4">
      <c r="A35" t="s">
        <v>317</v>
      </c>
      <c r="B35" t="s">
        <v>152</v>
      </c>
      <c r="C35" t="s">
        <v>73</v>
      </c>
      <c r="D35" s="235" t="s">
        <v>417</v>
      </c>
    </row>
    <row r="36" spans="1:4">
      <c r="A36" t="s">
        <v>317</v>
      </c>
      <c r="B36" t="s">
        <v>153</v>
      </c>
      <c r="C36" t="s">
        <v>114</v>
      </c>
      <c r="D36" s="231" t="s">
        <v>406</v>
      </c>
    </row>
    <row r="37" spans="1:4">
      <c r="A37" t="s">
        <v>317</v>
      </c>
      <c r="B37" t="s">
        <v>154</v>
      </c>
      <c r="C37" t="s">
        <v>24</v>
      </c>
      <c r="D37" s="227" t="s">
        <v>386</v>
      </c>
    </row>
    <row r="38" spans="1:4">
      <c r="A38" t="s">
        <v>317</v>
      </c>
      <c r="B38" t="s">
        <v>155</v>
      </c>
      <c r="C38" t="s">
        <v>80</v>
      </c>
      <c r="D38" t="s">
        <v>354</v>
      </c>
    </row>
    <row r="39" spans="1:4">
      <c r="A39" t="s">
        <v>317</v>
      </c>
      <c r="B39" t="s">
        <v>156</v>
      </c>
      <c r="C39" t="s">
        <v>106</v>
      </c>
      <c r="D39" s="235" t="s">
        <v>418</v>
      </c>
    </row>
    <row r="40" spans="1:4">
      <c r="A40" t="s">
        <v>317</v>
      </c>
      <c r="B40" t="s">
        <v>157</v>
      </c>
      <c r="C40" t="s">
        <v>81</v>
      </c>
      <c r="D40" t="s">
        <v>355</v>
      </c>
    </row>
    <row r="41" spans="1:4">
      <c r="A41" t="s">
        <v>317</v>
      </c>
      <c r="B41" t="s">
        <v>158</v>
      </c>
      <c r="C41" t="s">
        <v>351</v>
      </c>
      <c r="D41" s="235" t="s">
        <v>419</v>
      </c>
    </row>
    <row r="42" spans="1:4">
      <c r="A42" t="s">
        <v>317</v>
      </c>
      <c r="B42" t="s">
        <v>159</v>
      </c>
      <c r="C42" t="s">
        <v>82</v>
      </c>
      <c r="D42" t="s">
        <v>356</v>
      </c>
    </row>
    <row r="43" spans="1:4">
      <c r="A43" t="s">
        <v>317</v>
      </c>
      <c r="B43" t="s">
        <v>160</v>
      </c>
      <c r="C43" t="s">
        <v>105</v>
      </c>
      <c r="D43" s="235" t="s">
        <v>412</v>
      </c>
    </row>
    <row r="44" spans="1:4">
      <c r="A44" t="s">
        <v>317</v>
      </c>
      <c r="B44" t="s">
        <v>161</v>
      </c>
      <c r="C44" t="s">
        <v>83</v>
      </c>
      <c r="D44" t="s">
        <v>357</v>
      </c>
    </row>
    <row r="45" spans="1:4">
      <c r="A45" t="s">
        <v>317</v>
      </c>
      <c r="B45" t="s">
        <v>162</v>
      </c>
      <c r="C45" t="s">
        <v>352</v>
      </c>
      <c r="D45" s="235" t="s">
        <v>413</v>
      </c>
    </row>
    <row r="46" spans="1:4">
      <c r="A46" t="s">
        <v>317</v>
      </c>
      <c r="B46" t="s">
        <v>163</v>
      </c>
      <c r="C46" t="s">
        <v>93</v>
      </c>
      <c r="D46" t="s">
        <v>362</v>
      </c>
    </row>
    <row r="47" spans="1:4">
      <c r="A47" t="s">
        <v>317</v>
      </c>
      <c r="B47" t="s">
        <v>164</v>
      </c>
      <c r="C47" t="s">
        <v>84</v>
      </c>
      <c r="D47" t="s">
        <v>358</v>
      </c>
    </row>
    <row r="48" spans="1:4">
      <c r="A48" t="s">
        <v>317</v>
      </c>
      <c r="B48" t="s">
        <v>165</v>
      </c>
      <c r="C48" t="s">
        <v>94</v>
      </c>
      <c r="D48" t="s">
        <v>363</v>
      </c>
    </row>
    <row r="49" spans="1:4">
      <c r="A49" t="s">
        <v>317</v>
      </c>
      <c r="B49" t="s">
        <v>166</v>
      </c>
      <c r="C49" t="s">
        <v>95</v>
      </c>
      <c r="D49" t="s">
        <v>364</v>
      </c>
    </row>
    <row r="50" spans="1:4">
      <c r="A50" t="s">
        <v>317</v>
      </c>
      <c r="B50" t="s">
        <v>167</v>
      </c>
      <c r="C50" t="s">
        <v>85</v>
      </c>
      <c r="D50" t="s">
        <v>359</v>
      </c>
    </row>
    <row r="51" spans="1:4">
      <c r="A51" t="s">
        <v>317</v>
      </c>
      <c r="B51" s="217" t="s">
        <v>168</v>
      </c>
      <c r="C51" t="s">
        <v>96</v>
      </c>
      <c r="D51" t="s">
        <v>365</v>
      </c>
    </row>
    <row r="52" spans="1:4">
      <c r="A52" t="s">
        <v>317</v>
      </c>
      <c r="B52" t="s">
        <v>169</v>
      </c>
      <c r="C52" t="s">
        <v>97</v>
      </c>
      <c r="D52" t="s">
        <v>366</v>
      </c>
    </row>
    <row r="53" spans="1:4">
      <c r="A53" t="s">
        <v>317</v>
      </c>
      <c r="B53" t="s">
        <v>170</v>
      </c>
      <c r="C53" t="s">
        <v>98</v>
      </c>
      <c r="D53" t="s">
        <v>367</v>
      </c>
    </row>
    <row r="54" spans="1:4">
      <c r="A54" t="s">
        <v>317</v>
      </c>
      <c r="B54" t="s">
        <v>171</v>
      </c>
      <c r="C54" t="s">
        <v>99</v>
      </c>
      <c r="D54" t="s">
        <v>368</v>
      </c>
    </row>
    <row r="55" spans="1:4">
      <c r="A55" t="s">
        <v>317</v>
      </c>
      <c r="B55" t="s">
        <v>172</v>
      </c>
      <c r="C55" t="s">
        <v>100</v>
      </c>
      <c r="D55" t="s">
        <v>369</v>
      </c>
    </row>
    <row r="56" spans="1:4">
      <c r="A56" t="s">
        <v>317</v>
      </c>
      <c r="B56" t="s">
        <v>173</v>
      </c>
      <c r="C56" t="s">
        <v>101</v>
      </c>
      <c r="D56" t="s">
        <v>370</v>
      </c>
    </row>
    <row r="57" spans="1:4">
      <c r="A57" t="s">
        <v>317</v>
      </c>
      <c r="B57" t="s">
        <v>174</v>
      </c>
      <c r="C57" t="s">
        <v>102</v>
      </c>
      <c r="D57" t="s">
        <v>371</v>
      </c>
    </row>
    <row r="58" spans="1:4">
      <c r="A58" t="s">
        <v>317</v>
      </c>
      <c r="B58" t="s">
        <v>175</v>
      </c>
      <c r="C58" t="s">
        <v>103</v>
      </c>
      <c r="D58" t="s">
        <v>372</v>
      </c>
    </row>
    <row r="59" spans="1:4">
      <c r="A59" t="s">
        <v>317</v>
      </c>
      <c r="B59" t="s">
        <v>176</v>
      </c>
      <c r="C59" t="s">
        <v>104</v>
      </c>
      <c r="D59" t="s">
        <v>373</v>
      </c>
    </row>
    <row r="60" spans="1:4">
      <c r="A60" t="s">
        <v>318</v>
      </c>
      <c r="B60" t="s">
        <v>140</v>
      </c>
      <c r="C60" t="s">
        <v>89</v>
      </c>
      <c r="D60" t="s">
        <v>321</v>
      </c>
    </row>
    <row r="61" spans="1:4">
      <c r="A61" t="s">
        <v>318</v>
      </c>
      <c r="B61" t="s">
        <v>123</v>
      </c>
      <c r="C61" t="s">
        <v>12</v>
      </c>
      <c r="D61" t="s">
        <v>322</v>
      </c>
    </row>
    <row r="62" spans="1:4">
      <c r="A62" t="s">
        <v>318</v>
      </c>
      <c r="B62" t="s">
        <v>177</v>
      </c>
      <c r="C62" t="s">
        <v>14</v>
      </c>
      <c r="D62" t="s">
        <v>323</v>
      </c>
    </row>
    <row r="63" spans="1:4">
      <c r="A63" t="s">
        <v>318</v>
      </c>
      <c r="B63" t="s">
        <v>178</v>
      </c>
      <c r="C63" t="s">
        <v>22</v>
      </c>
      <c r="D63" t="s">
        <v>324</v>
      </c>
    </row>
    <row r="64" spans="1:4" ht="15.75">
      <c r="A64" t="s">
        <v>318</v>
      </c>
      <c r="B64" t="s">
        <v>141</v>
      </c>
      <c r="C64" t="s">
        <v>115</v>
      </c>
      <c r="D64" t="s">
        <v>376</v>
      </c>
    </row>
    <row r="65" spans="1:4">
      <c r="A65" t="s">
        <v>318</v>
      </c>
      <c r="B65" t="s">
        <v>179</v>
      </c>
      <c r="C65" t="s">
        <v>53</v>
      </c>
      <c r="D65" s="227" t="s">
        <v>388</v>
      </c>
    </row>
    <row r="66" spans="1:4">
      <c r="A66" t="s">
        <v>318</v>
      </c>
      <c r="B66" t="s">
        <v>180</v>
      </c>
      <c r="C66" t="s">
        <v>23</v>
      </c>
      <c r="D66" t="s">
        <v>325</v>
      </c>
    </row>
    <row r="67" spans="1:4">
      <c r="A67" t="s">
        <v>318</v>
      </c>
      <c r="B67" t="s">
        <v>124</v>
      </c>
      <c r="C67" t="s">
        <v>116</v>
      </c>
      <c r="D67" t="s">
        <v>326</v>
      </c>
    </row>
    <row r="68" spans="1:4">
      <c r="A68" t="s">
        <v>318</v>
      </c>
      <c r="B68" t="s">
        <v>181</v>
      </c>
      <c r="C68" t="s">
        <v>6</v>
      </c>
      <c r="D68" t="s">
        <v>327</v>
      </c>
    </row>
    <row r="69" spans="1:4">
      <c r="A69" t="s">
        <v>318</v>
      </c>
      <c r="B69" t="s">
        <v>182</v>
      </c>
      <c r="C69" t="s">
        <v>21</v>
      </c>
      <c r="D69" t="s">
        <v>328</v>
      </c>
    </row>
    <row r="70" spans="1:4">
      <c r="A70" t="s">
        <v>318</v>
      </c>
      <c r="B70" t="s">
        <v>183</v>
      </c>
      <c r="C70" t="s">
        <v>24</v>
      </c>
      <c r="D70" t="s">
        <v>386</v>
      </c>
    </row>
    <row r="71" spans="1:4">
      <c r="A71" t="s">
        <v>318</v>
      </c>
      <c r="B71" t="s">
        <v>184</v>
      </c>
      <c r="C71" t="s">
        <v>19</v>
      </c>
      <c r="D71" t="s">
        <v>19</v>
      </c>
    </row>
    <row r="72" spans="1:4">
      <c r="A72" t="s">
        <v>318</v>
      </c>
      <c r="B72" t="s">
        <v>185</v>
      </c>
      <c r="C72" t="s">
        <v>117</v>
      </c>
      <c r="D72" t="s">
        <v>117</v>
      </c>
    </row>
    <row r="73" spans="1:4">
      <c r="A73" t="s">
        <v>318</v>
      </c>
      <c r="B73" t="s">
        <v>186</v>
      </c>
      <c r="C73" t="s">
        <v>6</v>
      </c>
      <c r="D73" t="s">
        <v>327</v>
      </c>
    </row>
    <row r="74" spans="1:4">
      <c r="A74" t="s">
        <v>318</v>
      </c>
      <c r="B74" t="s">
        <v>187</v>
      </c>
      <c r="C74" t="s">
        <v>20</v>
      </c>
      <c r="D74" t="s">
        <v>327</v>
      </c>
    </row>
    <row r="75" spans="1:4">
      <c r="A75" t="s">
        <v>318</v>
      </c>
      <c r="B75" t="s">
        <v>188</v>
      </c>
      <c r="C75" t="s">
        <v>5</v>
      </c>
      <c r="D75" t="s">
        <v>329</v>
      </c>
    </row>
    <row r="76" spans="1:4">
      <c r="A76" t="s">
        <v>318</v>
      </c>
      <c r="B76" t="s">
        <v>189</v>
      </c>
      <c r="C76" t="s">
        <v>54</v>
      </c>
      <c r="D76" t="s">
        <v>354</v>
      </c>
    </row>
    <row r="77" spans="1:4">
      <c r="A77" t="s">
        <v>318</v>
      </c>
      <c r="B77" t="s">
        <v>190</v>
      </c>
      <c r="C77" t="s">
        <v>55</v>
      </c>
      <c r="D77" t="s">
        <v>355</v>
      </c>
    </row>
    <row r="78" spans="1:4">
      <c r="A78" t="s">
        <v>318</v>
      </c>
      <c r="B78" t="s">
        <v>191</v>
      </c>
      <c r="C78" t="s">
        <v>56</v>
      </c>
      <c r="D78" t="s">
        <v>356</v>
      </c>
    </row>
    <row r="79" spans="1:4">
      <c r="A79" t="s">
        <v>318</v>
      </c>
      <c r="B79" t="s">
        <v>192</v>
      </c>
      <c r="C79" t="s">
        <v>57</v>
      </c>
      <c r="D79" t="s">
        <v>357</v>
      </c>
    </row>
    <row r="80" spans="1:4">
      <c r="A80" t="s">
        <v>318</v>
      </c>
      <c r="B80" t="s">
        <v>193</v>
      </c>
      <c r="C80" t="s">
        <v>58</v>
      </c>
      <c r="D80" t="s">
        <v>362</v>
      </c>
    </row>
    <row r="81" spans="1:4">
      <c r="A81" t="s">
        <v>318</v>
      </c>
      <c r="B81" t="s">
        <v>194</v>
      </c>
      <c r="C81" t="s">
        <v>59</v>
      </c>
      <c r="D81" t="s">
        <v>358</v>
      </c>
    </row>
    <row r="82" spans="1:4">
      <c r="A82" t="s">
        <v>318</v>
      </c>
      <c r="B82" t="s">
        <v>195</v>
      </c>
      <c r="C82" t="s">
        <v>60</v>
      </c>
      <c r="D82" t="s">
        <v>363</v>
      </c>
    </row>
    <row r="83" spans="1:4">
      <c r="A83" t="s">
        <v>318</v>
      </c>
      <c r="B83" t="s">
        <v>196</v>
      </c>
      <c r="C83" t="s">
        <v>61</v>
      </c>
      <c r="D83" t="s">
        <v>364</v>
      </c>
    </row>
    <row r="84" spans="1:4">
      <c r="A84" t="s">
        <v>318</v>
      </c>
      <c r="B84" t="s">
        <v>197</v>
      </c>
      <c r="C84" t="s">
        <v>62</v>
      </c>
      <c r="D84" t="s">
        <v>359</v>
      </c>
    </row>
    <row r="85" spans="1:4">
      <c r="A85" t="s">
        <v>318</v>
      </c>
      <c r="B85" t="s">
        <v>198</v>
      </c>
      <c r="C85" t="s">
        <v>63</v>
      </c>
      <c r="D85" t="s">
        <v>365</v>
      </c>
    </row>
    <row r="86" spans="1:4">
      <c r="A86" t="s">
        <v>318</v>
      </c>
      <c r="B86" t="s">
        <v>199</v>
      </c>
      <c r="C86" t="s">
        <v>64</v>
      </c>
      <c r="D86" t="s">
        <v>366</v>
      </c>
    </row>
    <row r="87" spans="1:4">
      <c r="A87" t="s">
        <v>318</v>
      </c>
      <c r="B87" t="s">
        <v>200</v>
      </c>
      <c r="C87" t="s">
        <v>65</v>
      </c>
      <c r="D87" t="s">
        <v>367</v>
      </c>
    </row>
    <row r="88" spans="1:4">
      <c r="A88" t="s">
        <v>318</v>
      </c>
      <c r="B88" t="s">
        <v>201</v>
      </c>
      <c r="C88" t="s">
        <v>66</v>
      </c>
      <c r="D88" t="s">
        <v>368</v>
      </c>
    </row>
    <row r="89" spans="1:4">
      <c r="A89" t="s">
        <v>318</v>
      </c>
      <c r="B89" t="s">
        <v>202</v>
      </c>
      <c r="C89" t="s">
        <v>67</v>
      </c>
      <c r="D89" t="s">
        <v>369</v>
      </c>
    </row>
    <row r="90" spans="1:4">
      <c r="A90" t="s">
        <v>318</v>
      </c>
      <c r="B90" t="s">
        <v>203</v>
      </c>
      <c r="C90" t="s">
        <v>68</v>
      </c>
      <c r="D90" t="s">
        <v>370</v>
      </c>
    </row>
    <row r="91" spans="1:4">
      <c r="A91" t="s">
        <v>318</v>
      </c>
      <c r="B91" t="s">
        <v>204</v>
      </c>
      <c r="C91" t="s">
        <v>69</v>
      </c>
      <c r="D91" t="s">
        <v>371</v>
      </c>
    </row>
    <row r="92" spans="1:4">
      <c r="A92" t="s">
        <v>318</v>
      </c>
      <c r="B92" t="s">
        <v>205</v>
      </c>
      <c r="C92" t="s">
        <v>70</v>
      </c>
      <c r="D92" t="s">
        <v>372</v>
      </c>
    </row>
    <row r="93" spans="1:4">
      <c r="A93" t="s">
        <v>318</v>
      </c>
      <c r="B93" t="s">
        <v>206</v>
      </c>
      <c r="C93" t="s">
        <v>71</v>
      </c>
      <c r="D93" t="s">
        <v>373</v>
      </c>
    </row>
    <row r="94" spans="1:4">
      <c r="A94" t="s">
        <v>318</v>
      </c>
      <c r="B94" t="s">
        <v>207</v>
      </c>
      <c r="C94" t="s">
        <v>7</v>
      </c>
      <c r="D94" t="s">
        <v>330</v>
      </c>
    </row>
    <row r="95" spans="1:4">
      <c r="A95" t="s">
        <v>318</v>
      </c>
      <c r="B95" t="s">
        <v>208</v>
      </c>
      <c r="C95" t="s">
        <v>5</v>
      </c>
      <c r="D95" t="s">
        <v>329</v>
      </c>
    </row>
    <row r="96" spans="1:4">
      <c r="A96" t="s">
        <v>318</v>
      </c>
      <c r="B96" t="s">
        <v>209</v>
      </c>
      <c r="C96" t="s">
        <v>54</v>
      </c>
      <c r="D96" t="s">
        <v>354</v>
      </c>
    </row>
    <row r="97" spans="1:4">
      <c r="A97" t="s">
        <v>318</v>
      </c>
      <c r="B97" t="s">
        <v>210</v>
      </c>
      <c r="C97" t="s">
        <v>55</v>
      </c>
      <c r="D97" t="s">
        <v>355</v>
      </c>
    </row>
    <row r="98" spans="1:4">
      <c r="A98" t="s">
        <v>318</v>
      </c>
      <c r="B98" t="s">
        <v>211</v>
      </c>
      <c r="C98" t="s">
        <v>56</v>
      </c>
      <c r="D98" t="s">
        <v>356</v>
      </c>
    </row>
    <row r="99" spans="1:4">
      <c r="A99" t="s">
        <v>318</v>
      </c>
      <c r="B99" t="s">
        <v>212</v>
      </c>
      <c r="C99" t="s">
        <v>57</v>
      </c>
      <c r="D99" t="s">
        <v>357</v>
      </c>
    </row>
    <row r="100" spans="1:4">
      <c r="A100" t="s">
        <v>318</v>
      </c>
      <c r="B100" t="s">
        <v>213</v>
      </c>
      <c r="C100" t="s">
        <v>58</v>
      </c>
      <c r="D100" t="s">
        <v>362</v>
      </c>
    </row>
    <row r="101" spans="1:4">
      <c r="A101" t="s">
        <v>318</v>
      </c>
      <c r="B101" t="s">
        <v>214</v>
      </c>
      <c r="C101" t="s">
        <v>59</v>
      </c>
      <c r="D101" t="s">
        <v>358</v>
      </c>
    </row>
    <row r="102" spans="1:4">
      <c r="A102" t="s">
        <v>318</v>
      </c>
      <c r="B102" t="s">
        <v>215</v>
      </c>
      <c r="C102" t="s">
        <v>60</v>
      </c>
      <c r="D102" t="s">
        <v>363</v>
      </c>
    </row>
    <row r="103" spans="1:4">
      <c r="A103" t="s">
        <v>318</v>
      </c>
      <c r="B103" t="s">
        <v>216</v>
      </c>
      <c r="C103" t="s">
        <v>61</v>
      </c>
      <c r="D103" t="s">
        <v>364</v>
      </c>
    </row>
    <row r="104" spans="1:4">
      <c r="A104" t="s">
        <v>318</v>
      </c>
      <c r="B104" t="s">
        <v>217</v>
      </c>
      <c r="C104" t="s">
        <v>62</v>
      </c>
      <c r="D104" t="s">
        <v>359</v>
      </c>
    </row>
    <row r="105" spans="1:4">
      <c r="A105" t="s">
        <v>318</v>
      </c>
      <c r="B105" t="s">
        <v>218</v>
      </c>
      <c r="C105" t="s">
        <v>63</v>
      </c>
      <c r="D105" t="s">
        <v>365</v>
      </c>
    </row>
    <row r="106" spans="1:4">
      <c r="A106" t="s">
        <v>318</v>
      </c>
      <c r="B106" t="s">
        <v>219</v>
      </c>
      <c r="C106" t="s">
        <v>64</v>
      </c>
      <c r="D106" t="s">
        <v>366</v>
      </c>
    </row>
    <row r="107" spans="1:4">
      <c r="A107" t="s">
        <v>318</v>
      </c>
      <c r="B107" t="s">
        <v>220</v>
      </c>
      <c r="C107" t="s">
        <v>65</v>
      </c>
      <c r="D107" t="s">
        <v>367</v>
      </c>
    </row>
    <row r="108" spans="1:4">
      <c r="A108" t="s">
        <v>318</v>
      </c>
      <c r="B108" t="s">
        <v>221</v>
      </c>
      <c r="C108" t="s">
        <v>66</v>
      </c>
      <c r="D108" t="s">
        <v>368</v>
      </c>
    </row>
    <row r="109" spans="1:4">
      <c r="A109" t="s">
        <v>318</v>
      </c>
      <c r="B109" t="s">
        <v>222</v>
      </c>
      <c r="C109" t="s">
        <v>67</v>
      </c>
      <c r="D109" t="s">
        <v>369</v>
      </c>
    </row>
    <row r="110" spans="1:4">
      <c r="A110" t="s">
        <v>318</v>
      </c>
      <c r="B110" t="s">
        <v>223</v>
      </c>
      <c r="C110" t="s">
        <v>68</v>
      </c>
      <c r="D110" t="s">
        <v>370</v>
      </c>
    </row>
    <row r="111" spans="1:4">
      <c r="A111" t="s">
        <v>318</v>
      </c>
      <c r="B111" t="s">
        <v>224</v>
      </c>
      <c r="C111" t="s">
        <v>69</v>
      </c>
      <c r="D111" t="s">
        <v>371</v>
      </c>
    </row>
    <row r="112" spans="1:4">
      <c r="A112" t="s">
        <v>318</v>
      </c>
      <c r="B112" t="s">
        <v>225</v>
      </c>
      <c r="C112" t="s">
        <v>70</v>
      </c>
      <c r="D112" t="s">
        <v>372</v>
      </c>
    </row>
    <row r="113" spans="1:4">
      <c r="A113" t="s">
        <v>318</v>
      </c>
      <c r="B113" t="s">
        <v>226</v>
      </c>
      <c r="C113" t="s">
        <v>71</v>
      </c>
      <c r="D113" t="s">
        <v>373</v>
      </c>
    </row>
    <row r="114" spans="1:4">
      <c r="A114" t="s">
        <v>318</v>
      </c>
      <c r="B114" t="s">
        <v>227</v>
      </c>
      <c r="C114" t="s">
        <v>7</v>
      </c>
      <c r="D114" t="s">
        <v>330</v>
      </c>
    </row>
    <row r="115" spans="1:4">
      <c r="A115" t="s">
        <v>318</v>
      </c>
      <c r="B115" t="s">
        <v>228</v>
      </c>
      <c r="C115" t="s">
        <v>5</v>
      </c>
      <c r="D115" t="s">
        <v>329</v>
      </c>
    </row>
    <row r="116" spans="1:4">
      <c r="A116" t="s">
        <v>318</v>
      </c>
      <c r="B116" t="s">
        <v>229</v>
      </c>
      <c r="C116" t="s">
        <v>54</v>
      </c>
      <c r="D116" t="s">
        <v>354</v>
      </c>
    </row>
    <row r="117" spans="1:4">
      <c r="A117" t="s">
        <v>318</v>
      </c>
      <c r="B117" t="s">
        <v>230</v>
      </c>
      <c r="C117" t="s">
        <v>55</v>
      </c>
      <c r="D117" t="s">
        <v>355</v>
      </c>
    </row>
    <row r="118" spans="1:4">
      <c r="A118" t="s">
        <v>318</v>
      </c>
      <c r="B118" t="s">
        <v>231</v>
      </c>
      <c r="C118" t="s">
        <v>56</v>
      </c>
      <c r="D118" t="s">
        <v>356</v>
      </c>
    </row>
    <row r="119" spans="1:4">
      <c r="A119" t="s">
        <v>318</v>
      </c>
      <c r="B119" t="s">
        <v>232</v>
      </c>
      <c r="C119" t="s">
        <v>57</v>
      </c>
      <c r="D119" t="s">
        <v>357</v>
      </c>
    </row>
    <row r="120" spans="1:4">
      <c r="A120" t="s">
        <v>318</v>
      </c>
      <c r="B120" t="s">
        <v>233</v>
      </c>
      <c r="C120" t="s">
        <v>58</v>
      </c>
      <c r="D120" t="s">
        <v>362</v>
      </c>
    </row>
    <row r="121" spans="1:4">
      <c r="A121" t="s">
        <v>318</v>
      </c>
      <c r="B121" t="s">
        <v>234</v>
      </c>
      <c r="C121" t="s">
        <v>59</v>
      </c>
      <c r="D121" t="s">
        <v>358</v>
      </c>
    </row>
    <row r="122" spans="1:4">
      <c r="A122" t="s">
        <v>318</v>
      </c>
      <c r="B122" t="s">
        <v>235</v>
      </c>
      <c r="C122" t="s">
        <v>60</v>
      </c>
      <c r="D122" t="s">
        <v>363</v>
      </c>
    </row>
    <row r="123" spans="1:4">
      <c r="A123" t="s">
        <v>318</v>
      </c>
      <c r="B123" t="s">
        <v>236</v>
      </c>
      <c r="C123" t="s">
        <v>61</v>
      </c>
      <c r="D123" t="s">
        <v>364</v>
      </c>
    </row>
    <row r="124" spans="1:4">
      <c r="A124" t="s">
        <v>318</v>
      </c>
      <c r="B124" t="s">
        <v>237</v>
      </c>
      <c r="C124" t="s">
        <v>62</v>
      </c>
      <c r="D124" t="s">
        <v>359</v>
      </c>
    </row>
    <row r="125" spans="1:4">
      <c r="A125" t="s">
        <v>318</v>
      </c>
      <c r="B125" t="s">
        <v>238</v>
      </c>
      <c r="C125" t="s">
        <v>63</v>
      </c>
      <c r="D125" t="s">
        <v>365</v>
      </c>
    </row>
    <row r="126" spans="1:4">
      <c r="A126" t="s">
        <v>318</v>
      </c>
      <c r="B126" t="s">
        <v>239</v>
      </c>
      <c r="C126" t="s">
        <v>64</v>
      </c>
      <c r="D126" t="s">
        <v>366</v>
      </c>
    </row>
    <row r="127" spans="1:4">
      <c r="A127" t="s">
        <v>318</v>
      </c>
      <c r="B127" t="s">
        <v>240</v>
      </c>
      <c r="C127" t="s">
        <v>65</v>
      </c>
      <c r="D127" t="s">
        <v>367</v>
      </c>
    </row>
    <row r="128" spans="1:4">
      <c r="A128" t="s">
        <v>318</v>
      </c>
      <c r="B128" t="s">
        <v>241</v>
      </c>
      <c r="C128" t="s">
        <v>66</v>
      </c>
      <c r="D128" t="s">
        <v>368</v>
      </c>
    </row>
    <row r="129" spans="1:4">
      <c r="A129" t="s">
        <v>318</v>
      </c>
      <c r="B129" t="s">
        <v>242</v>
      </c>
      <c r="C129" t="s">
        <v>67</v>
      </c>
      <c r="D129" t="s">
        <v>369</v>
      </c>
    </row>
    <row r="130" spans="1:4">
      <c r="A130" t="s">
        <v>318</v>
      </c>
      <c r="B130" t="s">
        <v>243</v>
      </c>
      <c r="C130" t="s">
        <v>68</v>
      </c>
      <c r="D130" t="s">
        <v>370</v>
      </c>
    </row>
    <row r="131" spans="1:4">
      <c r="A131" t="s">
        <v>318</v>
      </c>
      <c r="B131" t="s">
        <v>244</v>
      </c>
      <c r="C131" t="s">
        <v>69</v>
      </c>
      <c r="D131" t="s">
        <v>371</v>
      </c>
    </row>
    <row r="132" spans="1:4">
      <c r="A132" t="s">
        <v>318</v>
      </c>
      <c r="B132" t="s">
        <v>245</v>
      </c>
      <c r="C132" t="s">
        <v>70</v>
      </c>
      <c r="D132" t="s">
        <v>372</v>
      </c>
    </row>
    <row r="133" spans="1:4">
      <c r="A133" t="s">
        <v>318</v>
      </c>
      <c r="B133" t="s">
        <v>246</v>
      </c>
      <c r="C133" t="s">
        <v>71</v>
      </c>
      <c r="D133" t="s">
        <v>373</v>
      </c>
    </row>
    <row r="134" spans="1:4">
      <c r="A134" t="s">
        <v>318</v>
      </c>
      <c r="B134" t="s">
        <v>247</v>
      </c>
      <c r="C134" t="s">
        <v>7</v>
      </c>
      <c r="D134" t="s">
        <v>330</v>
      </c>
    </row>
    <row r="135" spans="1:4">
      <c r="A135" t="s">
        <v>318</v>
      </c>
      <c r="B135" t="s">
        <v>130</v>
      </c>
      <c r="C135" t="s">
        <v>10</v>
      </c>
      <c r="D135" t="s">
        <v>331</v>
      </c>
    </row>
    <row r="136" spans="1:4">
      <c r="A136" t="s">
        <v>318</v>
      </c>
      <c r="B136" t="s">
        <v>248</v>
      </c>
      <c r="C136" t="s">
        <v>118</v>
      </c>
      <c r="D136" t="s">
        <v>332</v>
      </c>
    </row>
    <row r="137" spans="1:4">
      <c r="A137" t="s">
        <v>318</v>
      </c>
      <c r="B137" t="s">
        <v>249</v>
      </c>
      <c r="C137" t="s">
        <v>119</v>
      </c>
      <c r="D137" t="s">
        <v>333</v>
      </c>
    </row>
    <row r="138" spans="1:4">
      <c r="A138" t="s">
        <v>318</v>
      </c>
      <c r="B138" t="s">
        <v>250</v>
      </c>
      <c r="C138" t="s">
        <v>8</v>
      </c>
      <c r="D138" t="s">
        <v>334</v>
      </c>
    </row>
    <row r="139" spans="1:4">
      <c r="A139" t="s">
        <v>318</v>
      </c>
      <c r="B139" t="s">
        <v>251</v>
      </c>
      <c r="C139" t="s">
        <v>120</v>
      </c>
      <c r="D139" t="s">
        <v>335</v>
      </c>
    </row>
    <row r="140" spans="1:4">
      <c r="A140" t="s">
        <v>318</v>
      </c>
      <c r="B140" t="s">
        <v>252</v>
      </c>
      <c r="C140" t="s">
        <v>9</v>
      </c>
      <c r="D140" t="s">
        <v>336</v>
      </c>
    </row>
    <row r="141" spans="1:4">
      <c r="A141" t="s">
        <v>318</v>
      </c>
      <c r="B141" t="s">
        <v>253</v>
      </c>
      <c r="C141" t="s">
        <v>11</v>
      </c>
      <c r="D141" t="s">
        <v>337</v>
      </c>
    </row>
    <row r="142" spans="1:4">
      <c r="A142" t="s">
        <v>318</v>
      </c>
      <c r="B142" t="s">
        <v>254</v>
      </c>
      <c r="C142" t="s">
        <v>13</v>
      </c>
      <c r="D142" t="s">
        <v>338</v>
      </c>
    </row>
    <row r="143" spans="1:4">
      <c r="A143" t="s">
        <v>318</v>
      </c>
      <c r="B143" t="s">
        <v>255</v>
      </c>
      <c r="C143" t="s">
        <v>91</v>
      </c>
      <c r="D143" t="s">
        <v>420</v>
      </c>
    </row>
    <row r="144" spans="1:4">
      <c r="A144" t="s">
        <v>318</v>
      </c>
      <c r="B144" t="s">
        <v>256</v>
      </c>
      <c r="C144" t="s">
        <v>15</v>
      </c>
      <c r="D144" t="s">
        <v>421</v>
      </c>
    </row>
    <row r="145" spans="1:4">
      <c r="A145" t="s">
        <v>318</v>
      </c>
      <c r="B145" t="s">
        <v>257</v>
      </c>
      <c r="C145" t="s">
        <v>16</v>
      </c>
      <c r="D145" t="s">
        <v>339</v>
      </c>
    </row>
    <row r="146" spans="1:4">
      <c r="A146" t="s">
        <v>318</v>
      </c>
      <c r="B146" t="s">
        <v>258</v>
      </c>
      <c r="C146" t="s">
        <v>42</v>
      </c>
      <c r="D146" t="s">
        <v>340</v>
      </c>
    </row>
    <row r="147" spans="1:4">
      <c r="A147" t="s">
        <v>318</v>
      </c>
      <c r="B147" t="s">
        <v>259</v>
      </c>
      <c r="C147" t="s">
        <v>43</v>
      </c>
      <c r="D147" t="s">
        <v>341</v>
      </c>
    </row>
    <row r="148" spans="1:4">
      <c r="A148" t="s">
        <v>318</v>
      </c>
      <c r="B148" t="s">
        <v>260</v>
      </c>
      <c r="C148" t="s">
        <v>121</v>
      </c>
      <c r="D148" t="s">
        <v>342</v>
      </c>
    </row>
    <row r="149" spans="1:4">
      <c r="A149" t="s">
        <v>318</v>
      </c>
      <c r="B149" t="s">
        <v>261</v>
      </c>
      <c r="C149" t="s">
        <v>17</v>
      </c>
      <c r="D149" t="s">
        <v>343</v>
      </c>
    </row>
    <row r="150" spans="1:4">
      <c r="A150" t="s">
        <v>318</v>
      </c>
      <c r="B150" t="s">
        <v>262</v>
      </c>
      <c r="C150" t="s">
        <v>18</v>
      </c>
      <c r="D150" t="s">
        <v>377</v>
      </c>
    </row>
    <row r="151" spans="1:4">
      <c r="A151" t="s">
        <v>318</v>
      </c>
      <c r="B151" t="s">
        <v>263</v>
      </c>
      <c r="C151" t="s">
        <v>4</v>
      </c>
      <c r="D151" t="s">
        <v>4</v>
      </c>
    </row>
    <row r="152" spans="1:4">
      <c r="A152" t="s">
        <v>318</v>
      </c>
      <c r="B152" t="s">
        <v>264</v>
      </c>
      <c r="C152" t="s">
        <v>44</v>
      </c>
      <c r="D152" t="s">
        <v>344</v>
      </c>
    </row>
    <row r="153" spans="1:4">
      <c r="A153" t="s">
        <v>318</v>
      </c>
      <c r="B153" t="s">
        <v>265</v>
      </c>
      <c r="C153" t="s">
        <v>122</v>
      </c>
      <c r="D153" t="s">
        <v>345</v>
      </c>
    </row>
    <row r="154" spans="1:4">
      <c r="A154" t="s">
        <v>318</v>
      </c>
      <c r="B154" t="s">
        <v>266</v>
      </c>
      <c r="C154" t="s">
        <v>45</v>
      </c>
      <c r="D154" t="s">
        <v>346</v>
      </c>
    </row>
    <row r="155" spans="1:4">
      <c r="A155" t="s">
        <v>319</v>
      </c>
      <c r="B155" t="s">
        <v>137</v>
      </c>
      <c r="C155" t="s">
        <v>48</v>
      </c>
      <c r="D155" s="231" t="s">
        <v>422</v>
      </c>
    </row>
    <row r="156" spans="1:4">
      <c r="A156" t="s">
        <v>319</v>
      </c>
      <c r="B156" t="s">
        <v>267</v>
      </c>
      <c r="C156" t="s">
        <v>74</v>
      </c>
      <c r="D156" t="s">
        <v>378</v>
      </c>
    </row>
    <row r="157" spans="1:4">
      <c r="A157" t="s">
        <v>319</v>
      </c>
      <c r="B157" t="s">
        <v>268</v>
      </c>
      <c r="C157" t="s">
        <v>75</v>
      </c>
      <c r="D157" s="231" t="s">
        <v>392</v>
      </c>
    </row>
    <row r="158" spans="1:4">
      <c r="A158" t="s">
        <v>319</v>
      </c>
      <c r="B158" t="s">
        <v>269</v>
      </c>
      <c r="C158" t="s">
        <v>3</v>
      </c>
      <c r="D158" s="231" t="s">
        <v>393</v>
      </c>
    </row>
    <row r="159" spans="1:4">
      <c r="A159" t="s">
        <v>319</v>
      </c>
      <c r="B159" t="s">
        <v>270</v>
      </c>
      <c r="C159" t="s">
        <v>27</v>
      </c>
      <c r="D159" s="231" t="s">
        <v>402</v>
      </c>
    </row>
    <row r="160" spans="1:4">
      <c r="A160" t="s">
        <v>319</v>
      </c>
      <c r="B160" t="s">
        <v>271</v>
      </c>
      <c r="C160" t="s">
        <v>78</v>
      </c>
      <c r="D160" s="231" t="s">
        <v>394</v>
      </c>
    </row>
    <row r="161" spans="1:4">
      <c r="A161" t="s">
        <v>319</v>
      </c>
      <c r="B161" t="s">
        <v>127</v>
      </c>
      <c r="C161" t="s">
        <v>5</v>
      </c>
      <c r="D161" t="s">
        <v>329</v>
      </c>
    </row>
    <row r="162" spans="1:4">
      <c r="A162" t="s">
        <v>319</v>
      </c>
      <c r="B162" t="s">
        <v>128</v>
      </c>
      <c r="C162" t="s">
        <v>54</v>
      </c>
      <c r="D162" t="s">
        <v>354</v>
      </c>
    </row>
    <row r="163" spans="1:4">
      <c r="A163" t="s">
        <v>319</v>
      </c>
      <c r="B163" t="s">
        <v>272</v>
      </c>
      <c r="C163" t="s">
        <v>55</v>
      </c>
      <c r="D163" t="s">
        <v>355</v>
      </c>
    </row>
    <row r="164" spans="1:4">
      <c r="A164" t="s">
        <v>319</v>
      </c>
      <c r="B164" t="s">
        <v>129</v>
      </c>
      <c r="C164" t="s">
        <v>56</v>
      </c>
      <c r="D164" t="s">
        <v>356</v>
      </c>
    </row>
    <row r="165" spans="1:4">
      <c r="A165" t="s">
        <v>319</v>
      </c>
      <c r="B165" t="s">
        <v>273</v>
      </c>
      <c r="C165" t="s">
        <v>57</v>
      </c>
      <c r="D165" t="s">
        <v>357</v>
      </c>
    </row>
    <row r="166" spans="1:4">
      <c r="A166" t="s">
        <v>319</v>
      </c>
      <c r="B166" t="s">
        <v>274</v>
      </c>
      <c r="C166" t="s">
        <v>58</v>
      </c>
      <c r="D166" t="s">
        <v>362</v>
      </c>
    </row>
    <row r="167" spans="1:4">
      <c r="A167" t="s">
        <v>319</v>
      </c>
      <c r="B167" t="s">
        <v>275</v>
      </c>
      <c r="C167" t="s">
        <v>59</v>
      </c>
      <c r="D167" t="s">
        <v>358</v>
      </c>
    </row>
    <row r="168" spans="1:4">
      <c r="A168" t="s">
        <v>319</v>
      </c>
      <c r="B168" t="s">
        <v>276</v>
      </c>
      <c r="C168" t="s">
        <v>60</v>
      </c>
      <c r="D168" t="s">
        <v>363</v>
      </c>
    </row>
    <row r="169" spans="1:4">
      <c r="A169" t="s">
        <v>319</v>
      </c>
      <c r="B169" t="s">
        <v>277</v>
      </c>
      <c r="C169" t="s">
        <v>61</v>
      </c>
      <c r="D169" t="s">
        <v>364</v>
      </c>
    </row>
    <row r="170" spans="1:4">
      <c r="A170" t="s">
        <v>319</v>
      </c>
      <c r="B170" t="s">
        <v>278</v>
      </c>
      <c r="C170" t="s">
        <v>62</v>
      </c>
      <c r="D170" t="s">
        <v>359</v>
      </c>
    </row>
    <row r="171" spans="1:4">
      <c r="A171" t="s">
        <v>319</v>
      </c>
      <c r="B171" t="s">
        <v>279</v>
      </c>
      <c r="C171" t="s">
        <v>63</v>
      </c>
      <c r="D171" t="s">
        <v>365</v>
      </c>
    </row>
    <row r="172" spans="1:4">
      <c r="A172" t="s">
        <v>319</v>
      </c>
      <c r="B172" t="s">
        <v>183</v>
      </c>
      <c r="C172" t="s">
        <v>64</v>
      </c>
      <c r="D172" t="s">
        <v>366</v>
      </c>
    </row>
    <row r="173" spans="1:4">
      <c r="A173" t="s">
        <v>319</v>
      </c>
      <c r="B173" t="s">
        <v>184</v>
      </c>
      <c r="C173" t="s">
        <v>65</v>
      </c>
      <c r="D173" t="s">
        <v>367</v>
      </c>
    </row>
    <row r="174" spans="1:4">
      <c r="A174" t="s">
        <v>319</v>
      </c>
      <c r="B174" t="s">
        <v>185</v>
      </c>
      <c r="C174" t="s">
        <v>66</v>
      </c>
      <c r="D174" t="s">
        <v>368</v>
      </c>
    </row>
    <row r="175" spans="1:4">
      <c r="A175" t="s">
        <v>319</v>
      </c>
      <c r="B175" t="s">
        <v>186</v>
      </c>
      <c r="C175" t="s">
        <v>67</v>
      </c>
      <c r="D175" t="s">
        <v>369</v>
      </c>
    </row>
    <row r="176" spans="1:4">
      <c r="A176" t="s">
        <v>319</v>
      </c>
      <c r="B176" t="s">
        <v>187</v>
      </c>
      <c r="C176" t="s">
        <v>68</v>
      </c>
      <c r="D176" t="s">
        <v>370</v>
      </c>
    </row>
    <row r="177" spans="1:4">
      <c r="A177" t="s">
        <v>319</v>
      </c>
      <c r="B177" t="s">
        <v>280</v>
      </c>
      <c r="C177" t="s">
        <v>69</v>
      </c>
      <c r="D177" t="s">
        <v>371</v>
      </c>
    </row>
    <row r="178" spans="1:4">
      <c r="A178" t="s">
        <v>319</v>
      </c>
      <c r="B178" t="s">
        <v>188</v>
      </c>
      <c r="C178" t="s">
        <v>70</v>
      </c>
      <c r="D178" t="s">
        <v>372</v>
      </c>
    </row>
    <row r="179" spans="1:4">
      <c r="A179" t="s">
        <v>319</v>
      </c>
      <c r="B179" t="s">
        <v>189</v>
      </c>
      <c r="C179" t="s">
        <v>71</v>
      </c>
      <c r="D179" t="s">
        <v>373</v>
      </c>
    </row>
    <row r="180" spans="1:4">
      <c r="A180" t="s">
        <v>319</v>
      </c>
      <c r="B180" t="s">
        <v>190</v>
      </c>
      <c r="C180" t="s">
        <v>7</v>
      </c>
      <c r="D180" t="s">
        <v>330</v>
      </c>
    </row>
    <row r="181" spans="1:4">
      <c r="A181" t="s">
        <v>319</v>
      </c>
      <c r="B181" t="s">
        <v>281</v>
      </c>
      <c r="C181" t="s">
        <v>77</v>
      </c>
      <c r="D181" s="231" t="s">
        <v>390</v>
      </c>
    </row>
    <row r="182" spans="1:4">
      <c r="A182" t="s">
        <v>319</v>
      </c>
      <c r="B182" t="s">
        <v>282</v>
      </c>
      <c r="C182" t="s">
        <v>107</v>
      </c>
      <c r="D182" s="235" t="s">
        <v>423</v>
      </c>
    </row>
    <row r="183" spans="1:4">
      <c r="A183" t="s">
        <v>319</v>
      </c>
      <c r="B183" t="s">
        <v>283</v>
      </c>
      <c r="C183" t="s">
        <v>76</v>
      </c>
      <c r="D183" s="231" t="s">
        <v>389</v>
      </c>
    </row>
    <row r="184" spans="1:4">
      <c r="A184" t="s">
        <v>319</v>
      </c>
      <c r="B184" t="s">
        <v>284</v>
      </c>
      <c r="C184" t="s">
        <v>47</v>
      </c>
      <c r="D184" s="231" t="s">
        <v>391</v>
      </c>
    </row>
    <row r="185" spans="1:4">
      <c r="A185" t="s">
        <v>319</v>
      </c>
      <c r="B185" t="s">
        <v>285</v>
      </c>
      <c r="C185" t="s">
        <v>39</v>
      </c>
      <c r="D185" t="s">
        <v>379</v>
      </c>
    </row>
    <row r="186" spans="1:4">
      <c r="A186" t="s">
        <v>319</v>
      </c>
      <c r="B186" t="s">
        <v>148</v>
      </c>
      <c r="C186" t="s">
        <v>46</v>
      </c>
      <c r="D186" s="231" t="s">
        <v>409</v>
      </c>
    </row>
    <row r="187" spans="1:4">
      <c r="A187" t="s">
        <v>319</v>
      </c>
      <c r="B187" t="s">
        <v>286</v>
      </c>
      <c r="C187" t="s">
        <v>37</v>
      </c>
      <c r="D187" s="231" t="s">
        <v>395</v>
      </c>
    </row>
    <row r="188" spans="1:4">
      <c r="A188" t="s">
        <v>319</v>
      </c>
      <c r="B188" t="s">
        <v>287</v>
      </c>
      <c r="C188" t="s">
        <v>29</v>
      </c>
      <c r="D188" s="231" t="s">
        <v>31</v>
      </c>
    </row>
    <row r="189" spans="1:4">
      <c r="A189" t="s">
        <v>319</v>
      </c>
      <c r="B189" t="s">
        <v>288</v>
      </c>
      <c r="C189" t="s">
        <v>30</v>
      </c>
      <c r="D189" s="231" t="s">
        <v>399</v>
      </c>
    </row>
    <row r="190" spans="1:4">
      <c r="A190" t="s">
        <v>319</v>
      </c>
      <c r="B190" t="s">
        <v>289</v>
      </c>
      <c r="C190" t="s">
        <v>37</v>
      </c>
      <c r="D190" s="231" t="s">
        <v>396</v>
      </c>
    </row>
    <row r="191" spans="1:4">
      <c r="A191" t="s">
        <v>319</v>
      </c>
      <c r="B191" t="s">
        <v>290</v>
      </c>
      <c r="C191" t="s">
        <v>2</v>
      </c>
      <c r="D191" t="s">
        <v>380</v>
      </c>
    </row>
    <row r="192" spans="1:4">
      <c r="A192" t="s">
        <v>319</v>
      </c>
      <c r="B192" t="s">
        <v>291</v>
      </c>
      <c r="C192" t="s">
        <v>5</v>
      </c>
      <c r="D192" t="s">
        <v>329</v>
      </c>
    </row>
    <row r="193" spans="1:4">
      <c r="A193" t="s">
        <v>319</v>
      </c>
      <c r="B193" t="s">
        <v>292</v>
      </c>
      <c r="C193" t="s">
        <v>54</v>
      </c>
      <c r="D193" t="s">
        <v>354</v>
      </c>
    </row>
    <row r="194" spans="1:4">
      <c r="A194" t="s">
        <v>319</v>
      </c>
      <c r="B194" t="s">
        <v>293</v>
      </c>
      <c r="C194" t="s">
        <v>55</v>
      </c>
      <c r="D194" t="s">
        <v>355</v>
      </c>
    </row>
    <row r="195" spans="1:4">
      <c r="A195" t="s">
        <v>319</v>
      </c>
      <c r="B195" t="s">
        <v>294</v>
      </c>
      <c r="C195" t="s">
        <v>56</v>
      </c>
      <c r="D195" t="s">
        <v>356</v>
      </c>
    </row>
    <row r="196" spans="1:4">
      <c r="A196" t="s">
        <v>319</v>
      </c>
      <c r="B196" t="s">
        <v>295</v>
      </c>
      <c r="C196" t="s">
        <v>57</v>
      </c>
      <c r="D196" t="s">
        <v>357</v>
      </c>
    </row>
    <row r="197" spans="1:4">
      <c r="A197" t="s">
        <v>319</v>
      </c>
      <c r="B197" t="s">
        <v>296</v>
      </c>
      <c r="C197" t="s">
        <v>58</v>
      </c>
      <c r="D197" t="s">
        <v>362</v>
      </c>
    </row>
    <row r="198" spans="1:4">
      <c r="A198" t="s">
        <v>319</v>
      </c>
      <c r="B198" t="s">
        <v>297</v>
      </c>
      <c r="C198" t="s">
        <v>59</v>
      </c>
      <c r="D198" t="s">
        <v>358</v>
      </c>
    </row>
    <row r="199" spans="1:4">
      <c r="A199" t="s">
        <v>319</v>
      </c>
      <c r="B199" t="s">
        <v>298</v>
      </c>
      <c r="C199" t="s">
        <v>60</v>
      </c>
      <c r="D199" t="s">
        <v>363</v>
      </c>
    </row>
    <row r="200" spans="1:4">
      <c r="A200" t="s">
        <v>319</v>
      </c>
      <c r="B200" t="s">
        <v>299</v>
      </c>
      <c r="C200" t="s">
        <v>61</v>
      </c>
      <c r="D200" t="s">
        <v>364</v>
      </c>
    </row>
    <row r="201" spans="1:4">
      <c r="A201" t="s">
        <v>319</v>
      </c>
      <c r="B201" t="s">
        <v>300</v>
      </c>
      <c r="C201" t="s">
        <v>62</v>
      </c>
      <c r="D201" t="s">
        <v>359</v>
      </c>
    </row>
    <row r="202" spans="1:4">
      <c r="A202" t="s">
        <v>319</v>
      </c>
      <c r="B202" t="s">
        <v>301</v>
      </c>
      <c r="C202" t="s">
        <v>63</v>
      </c>
      <c r="D202" t="s">
        <v>365</v>
      </c>
    </row>
    <row r="203" spans="1:4">
      <c r="A203" t="s">
        <v>319</v>
      </c>
      <c r="B203" t="s">
        <v>302</v>
      </c>
      <c r="C203" t="s">
        <v>64</v>
      </c>
      <c r="D203" t="s">
        <v>366</v>
      </c>
    </row>
    <row r="204" spans="1:4">
      <c r="A204" t="s">
        <v>319</v>
      </c>
      <c r="B204" t="s">
        <v>303</v>
      </c>
      <c r="C204" t="s">
        <v>65</v>
      </c>
      <c r="D204" t="s">
        <v>367</v>
      </c>
    </row>
    <row r="205" spans="1:4">
      <c r="A205" t="s">
        <v>319</v>
      </c>
      <c r="B205" t="s">
        <v>304</v>
      </c>
      <c r="C205" t="s">
        <v>66</v>
      </c>
      <c r="D205" t="s">
        <v>368</v>
      </c>
    </row>
    <row r="206" spans="1:4">
      <c r="A206" t="s">
        <v>319</v>
      </c>
      <c r="B206" t="s">
        <v>305</v>
      </c>
      <c r="C206" t="s">
        <v>67</v>
      </c>
      <c r="D206" t="s">
        <v>369</v>
      </c>
    </row>
    <row r="207" spans="1:4">
      <c r="A207" t="s">
        <v>319</v>
      </c>
      <c r="B207" t="s">
        <v>306</v>
      </c>
      <c r="C207" t="s">
        <v>68</v>
      </c>
      <c r="D207" t="s">
        <v>370</v>
      </c>
    </row>
    <row r="208" spans="1:4">
      <c r="A208" t="s">
        <v>319</v>
      </c>
      <c r="B208" t="s">
        <v>307</v>
      </c>
      <c r="C208" t="s">
        <v>69</v>
      </c>
      <c r="D208" t="s">
        <v>371</v>
      </c>
    </row>
    <row r="209" spans="1:4">
      <c r="A209" t="s">
        <v>319</v>
      </c>
      <c r="B209" t="s">
        <v>308</v>
      </c>
      <c r="C209" t="s">
        <v>70</v>
      </c>
      <c r="D209" t="s">
        <v>372</v>
      </c>
    </row>
    <row r="210" spans="1:4">
      <c r="A210" t="s">
        <v>319</v>
      </c>
      <c r="B210" t="s">
        <v>309</v>
      </c>
      <c r="C210" t="s">
        <v>71</v>
      </c>
      <c r="D210" t="s">
        <v>373</v>
      </c>
    </row>
    <row r="211" spans="1:4">
      <c r="A211" t="s">
        <v>319</v>
      </c>
      <c r="B211" t="s">
        <v>310</v>
      </c>
      <c r="C211" t="s">
        <v>7</v>
      </c>
      <c r="D211" t="s">
        <v>330</v>
      </c>
    </row>
    <row r="212" spans="1:4">
      <c r="A212" t="s">
        <v>319</v>
      </c>
      <c r="B212" t="s">
        <v>311</v>
      </c>
      <c r="C212" t="s">
        <v>28</v>
      </c>
      <c r="D212" s="231" t="s">
        <v>397</v>
      </c>
    </row>
    <row r="213" spans="1:4">
      <c r="A213" t="s">
        <v>319</v>
      </c>
      <c r="B213" t="s">
        <v>312</v>
      </c>
      <c r="C213" t="s">
        <v>31</v>
      </c>
      <c r="D213" s="231" t="s">
        <v>401</v>
      </c>
    </row>
    <row r="214" spans="1:4">
      <c r="A214" t="s">
        <v>319</v>
      </c>
      <c r="B214" t="s">
        <v>313</v>
      </c>
      <c r="C214" t="s">
        <v>32</v>
      </c>
      <c r="D214" s="231" t="s">
        <v>400</v>
      </c>
    </row>
    <row r="215" spans="1:4">
      <c r="A215" t="s">
        <v>319</v>
      </c>
      <c r="B215" t="s">
        <v>314</v>
      </c>
      <c r="C215" t="s">
        <v>38</v>
      </c>
      <c r="D215" s="231" t="s">
        <v>398</v>
      </c>
    </row>
    <row r="216" spans="1:4">
      <c r="A216" t="s">
        <v>320</v>
      </c>
      <c r="B216" t="s">
        <v>137</v>
      </c>
      <c r="C216" t="s">
        <v>48</v>
      </c>
      <c r="D216" s="235" t="s">
        <v>422</v>
      </c>
    </row>
    <row r="217" spans="1:4">
      <c r="A217" t="s">
        <v>320</v>
      </c>
      <c r="B217" t="s">
        <v>269</v>
      </c>
      <c r="C217" s="223" t="s">
        <v>374</v>
      </c>
      <c r="D217" s="235" t="s">
        <v>424</v>
      </c>
    </row>
    <row r="218" spans="1:4">
      <c r="A218" t="s">
        <v>320</v>
      </c>
      <c r="B218" t="s">
        <v>271</v>
      </c>
      <c r="C218" s="223" t="s">
        <v>47</v>
      </c>
      <c r="D218" s="235" t="s">
        <v>391</v>
      </c>
    </row>
    <row r="219" spans="1:4">
      <c r="A219" t="s">
        <v>320</v>
      </c>
      <c r="B219" t="s">
        <v>142</v>
      </c>
      <c r="C219" s="223" t="s">
        <v>76</v>
      </c>
      <c r="D219" s="235" t="s">
        <v>389</v>
      </c>
    </row>
    <row r="220" spans="1:4">
      <c r="A220" t="s">
        <v>320</v>
      </c>
      <c r="B220" t="s">
        <v>375</v>
      </c>
      <c r="C220" s="223" t="s">
        <v>36</v>
      </c>
      <c r="D220" s="235" t="s">
        <v>379</v>
      </c>
    </row>
    <row r="221" spans="1:4">
      <c r="C221" t="s">
        <v>407</v>
      </c>
      <c r="D221" s="231" t="s">
        <v>408</v>
      </c>
    </row>
  </sheetData>
  <autoFilter ref="A1:D220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13</vt:i4>
      </vt:variant>
    </vt:vector>
  </HeadingPairs>
  <TitlesOfParts>
    <vt:vector size="21" baseType="lpstr">
      <vt:lpstr>Scenario Description</vt:lpstr>
      <vt:lpstr>Note</vt:lpstr>
      <vt:lpstr>Input - Entrée de données</vt:lpstr>
      <vt:lpstr>Derivation</vt:lpstr>
      <vt:lpstr>Chart - Graphique</vt:lpstr>
      <vt:lpstr>Output - Résultats</vt:lpstr>
      <vt:lpstr>Équivalences</vt:lpstr>
      <vt:lpstr>Sheet1</vt:lpstr>
      <vt:lpstr>LT_Med</vt:lpstr>
      <vt:lpstr>LT_Med_input</vt:lpstr>
      <vt:lpstr>'Chart - Graphique'!Print_Area</vt:lpstr>
      <vt:lpstr>Derivation!Print_Area</vt:lpstr>
      <vt:lpstr>'Output - Résultats'!Print_Area</vt:lpstr>
      <vt:lpstr>'Scenario Description'!Print_Area</vt:lpstr>
      <vt:lpstr>'Output - Résultats'!Print_Titles</vt:lpstr>
      <vt:lpstr>'Output - Résultats'!REGULAR_TEST1</vt:lpstr>
      <vt:lpstr>'Scenario Description'!ScenTable</vt:lpstr>
      <vt:lpstr>ST_Med_input</vt:lpstr>
      <vt:lpstr>'Output - Résultats'!TEST1</vt:lpstr>
      <vt:lpstr>'Output - Résultats'!TITLE1</vt:lpstr>
      <vt:lpstr>'Output - Résultats'!Yield07</vt:lpstr>
    </vt:vector>
  </TitlesOfParts>
  <Company>Great-West Life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Yield Curve Generator Version 5.4</dc:title>
  <dc:subject>Yield Rate</dc:subject>
  <dc:creator>Alex Lam</dc:creator>
  <cp:lastModifiedBy>Josee Racette</cp:lastModifiedBy>
  <cp:lastPrinted>2015-11-05T18:33:43Z</cp:lastPrinted>
  <dcterms:created xsi:type="dcterms:W3CDTF">2002-02-01T15:08:02Z</dcterms:created>
  <dcterms:modified xsi:type="dcterms:W3CDTF">2015-12-17T13:39:57Z</dcterms:modified>
</cp:coreProperties>
</file>