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01 - CIA\Professional Practice\PC\Ed Notes\Duration PandC\Feb 2017\"/>
    </mc:Choice>
  </mc:AlternateContent>
  <xr:revisionPtr revIDLastSave="0" documentId="13_ncr:1_{C64BFEE1-5071-4810-81D3-DEED9D922F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pp A Sh1" sheetId="10" r:id="rId1"/>
    <sheet name="App A Sh2-3" sheetId="14" r:id="rId2"/>
    <sheet name="App A Sh4" sheetId="15" r:id="rId3"/>
    <sheet name="App A Sh5" sheetId="9" r:id="rId4"/>
    <sheet name="App B" sheetId="11" r:id="rId5"/>
    <sheet name="App C" sheetId="12" r:id="rId6"/>
  </sheets>
  <definedNames>
    <definedName name="_xlnm.Print_Area" localSheetId="0">'App A Sh1'!$A$1:$M$82</definedName>
    <definedName name="_xlnm.Print_Area" localSheetId="1">'App A Sh2-3'!$A$1:$L$97</definedName>
    <definedName name="_xlnm.Print_Area" localSheetId="2">'App A Sh4'!$A$1:$M$75</definedName>
    <definedName name="_xlnm.Print_Area" localSheetId="3">'App A Sh5'!$A$1:$G$44</definedName>
    <definedName name="_xlnm.Print_Area" localSheetId="4">'App B'!$A$1:$T$63</definedName>
    <definedName name="_xlnm.Print_Titles" localSheetId="1">'App A Sh2-3'!$1:$1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0" l="1"/>
  <c r="B66" i="10" s="1"/>
  <c r="C58" i="10"/>
  <c r="C46" i="10"/>
  <c r="C35" i="10"/>
  <c r="C47" i="10" s="1"/>
  <c r="C59" i="10" s="1"/>
  <c r="E13" i="10"/>
  <c r="C42" i="10" s="1"/>
  <c r="C36" i="10" l="1"/>
  <c r="F94" i="14"/>
  <c r="F95" i="14" s="1"/>
  <c r="F96" i="14" s="1"/>
  <c r="F97" i="14" s="1"/>
  <c r="A94" i="14"/>
  <c r="A95" i="14" s="1"/>
  <c r="A96" i="14" s="1"/>
  <c r="A97" i="14" s="1"/>
  <c r="I78" i="10"/>
  <c r="I79" i="10" s="1"/>
  <c r="I80" i="10" s="1"/>
  <c r="I81" i="10" s="1"/>
  <c r="A78" i="10"/>
  <c r="A79" i="10" s="1"/>
  <c r="A80" i="10" s="1"/>
  <c r="A81" i="10" s="1"/>
  <c r="A82" i="10" s="1"/>
  <c r="C37" i="10" l="1"/>
  <c r="C48" i="10"/>
  <c r="C60" i="10" s="1"/>
  <c r="H20" i="11"/>
  <c r="H21" i="11"/>
  <c r="H22" i="11"/>
  <c r="H23" i="11"/>
  <c r="H24" i="11"/>
  <c r="H25" i="11"/>
  <c r="H26" i="11"/>
  <c r="H27" i="11"/>
  <c r="H28" i="11"/>
  <c r="H29" i="11"/>
  <c r="H19" i="11"/>
  <c r="B36" i="11"/>
  <c r="C38" i="10" l="1"/>
  <c r="C50" i="10" s="1"/>
  <c r="C62" i="10" s="1"/>
  <c r="C49" i="10"/>
  <c r="C61" i="10" s="1"/>
  <c r="B39" i="11"/>
  <c r="K53" i="10" l="1"/>
  <c r="K65" i="10" s="1"/>
  <c r="D46" i="10"/>
  <c r="D58" i="10" s="1"/>
  <c r="D35" i="10"/>
  <c r="D47" i="10" s="1"/>
  <c r="D59" i="10" s="1"/>
  <c r="D36" i="10" l="1"/>
  <c r="D37" i="10" s="1"/>
  <c r="D38" i="10" s="1"/>
  <c r="D50" i="10" s="1"/>
  <c r="D62" i="10" s="1"/>
  <c r="E11" i="10"/>
  <c r="D49" i="10" l="1"/>
  <c r="D61" i="10" s="1"/>
  <c r="D48" i="10"/>
  <c r="D60" i="10" s="1"/>
  <c r="D30" i="15"/>
  <c r="D31" i="15"/>
  <c r="D32" i="15"/>
  <c r="D33" i="15"/>
  <c r="D34" i="15"/>
  <c r="D35" i="15"/>
  <c r="D29" i="15"/>
  <c r="D28" i="15"/>
  <c r="E57" i="14"/>
  <c r="B10" i="15"/>
  <c r="B28" i="15" s="1"/>
  <c r="B29" i="15" s="1"/>
  <c r="B30" i="15" s="1"/>
  <c r="B31" i="15" s="1"/>
  <c r="B32" i="15" s="1"/>
  <c r="B33" i="15" s="1"/>
  <c r="B34" i="15" s="1"/>
  <c r="B35" i="15" s="1"/>
  <c r="D13" i="15"/>
  <c r="D14" i="15"/>
  <c r="D15" i="15"/>
  <c r="D16" i="15"/>
  <c r="D17" i="15"/>
  <c r="D12" i="15"/>
  <c r="D11" i="15"/>
  <c r="D10" i="15"/>
  <c r="J42" i="15" l="1"/>
  <c r="J55" i="15" s="1"/>
  <c r="D37" i="15" l="1"/>
  <c r="D50" i="15" s="1"/>
  <c r="D38" i="15"/>
  <c r="D51" i="15" s="1"/>
  <c r="D39" i="15"/>
  <c r="D52" i="15" s="1"/>
  <c r="D40" i="15"/>
  <c r="D53" i="15" s="1"/>
  <c r="D41" i="15"/>
  <c r="D54" i="15" s="1"/>
  <c r="D42" i="15"/>
  <c r="D55" i="15" s="1"/>
  <c r="D43" i="15"/>
  <c r="D56" i="15" s="1"/>
  <c r="K53" i="15"/>
  <c r="J53" i="15"/>
  <c r="K52" i="15"/>
  <c r="J52" i="15"/>
  <c r="K40" i="15"/>
  <c r="J40" i="15"/>
  <c r="K39" i="15"/>
  <c r="J39" i="15"/>
  <c r="C47" i="15"/>
  <c r="B47" i="15"/>
  <c r="C29" i="15"/>
  <c r="C30" i="15" s="1"/>
  <c r="C3" i="15"/>
  <c r="E47" i="15" l="1"/>
  <c r="C48" i="15"/>
  <c r="E48" i="15" s="1"/>
  <c r="B48" i="15"/>
  <c r="E29" i="15"/>
  <c r="E28" i="15"/>
  <c r="C31" i="15"/>
  <c r="E30" i="15"/>
  <c r="E31" i="15" l="1"/>
  <c r="C32" i="15"/>
  <c r="E32" i="15" l="1"/>
  <c r="C33" i="15"/>
  <c r="C34" i="15" l="1"/>
  <c r="E33" i="15"/>
  <c r="C35" i="15" l="1"/>
  <c r="E34" i="15"/>
  <c r="E35" i="15" l="1"/>
  <c r="K21" i="15" l="1"/>
  <c r="K22" i="15"/>
  <c r="J22" i="15"/>
  <c r="J21" i="15"/>
  <c r="J81" i="14"/>
  <c r="C4" i="15"/>
  <c r="B4" i="15"/>
  <c r="K52" i="10"/>
  <c r="K64" i="10" s="1"/>
  <c r="H33" i="15" l="1"/>
  <c r="I33" i="15"/>
  <c r="I34" i="15"/>
  <c r="I48" i="15"/>
  <c r="H35" i="15"/>
  <c r="I47" i="15"/>
  <c r="I35" i="15"/>
  <c r="H47" i="15"/>
  <c r="J47" i="15" s="1"/>
  <c r="H28" i="15"/>
  <c r="H10" i="15"/>
  <c r="H29" i="15"/>
  <c r="H48" i="15"/>
  <c r="J48" i="15" s="1"/>
  <c r="I29" i="15"/>
  <c r="H30" i="15"/>
  <c r="I30" i="15"/>
  <c r="H32" i="15"/>
  <c r="H31" i="15"/>
  <c r="I31" i="15"/>
  <c r="I28" i="15"/>
  <c r="I32" i="15"/>
  <c r="I10" i="15"/>
  <c r="H34" i="15"/>
  <c r="K47" i="15"/>
  <c r="K48" i="15"/>
  <c r="D62" i="15"/>
  <c r="K49" i="15" l="1"/>
  <c r="K54" i="15" s="1"/>
  <c r="J49" i="15"/>
  <c r="J54" i="15" s="1"/>
  <c r="C22" i="15"/>
  <c r="C7" i="15" l="1"/>
  <c r="D7" i="15" l="1"/>
  <c r="E7" i="15" s="1"/>
  <c r="F7" i="15" s="1"/>
  <c r="C40" i="15"/>
  <c r="C53" i="15" s="1"/>
  <c r="I7" i="15" l="1"/>
  <c r="J7" i="15" s="1"/>
  <c r="K7" i="15" s="1"/>
  <c r="D64" i="15"/>
  <c r="D63" i="15"/>
  <c r="C63" i="15"/>
  <c r="C62" i="15"/>
  <c r="B63" i="15"/>
  <c r="B62" i="15"/>
  <c r="H65" i="15"/>
  <c r="C52" i="15"/>
  <c r="C39" i="15"/>
  <c r="C21" i="15"/>
  <c r="C11" i="15"/>
  <c r="G90" i="14"/>
  <c r="E89" i="14"/>
  <c r="E88" i="14"/>
  <c r="B74" i="14"/>
  <c r="B75" i="14" s="1"/>
  <c r="C73" i="14"/>
  <c r="B62" i="14"/>
  <c r="C61" i="14"/>
  <c r="C45" i="14"/>
  <c r="J45" i="14" s="1"/>
  <c r="J46" i="14" s="1"/>
  <c r="D79" i="14" s="1"/>
  <c r="C44" i="14"/>
  <c r="F44" i="14" s="1"/>
  <c r="C43" i="14"/>
  <c r="E43" i="14" s="1"/>
  <c r="C42" i="14"/>
  <c r="G42" i="14" s="1"/>
  <c r="C41" i="14"/>
  <c r="E41" i="14" s="1"/>
  <c r="B41" i="14"/>
  <c r="C31" i="14"/>
  <c r="G31" i="14" s="1"/>
  <c r="C30" i="14"/>
  <c r="G30" i="14" s="1"/>
  <c r="C29" i="14"/>
  <c r="C28" i="14"/>
  <c r="C27" i="14"/>
  <c r="B27" i="14"/>
  <c r="F8" i="14"/>
  <c r="F9" i="14" s="1"/>
  <c r="F10" i="14" s="1"/>
  <c r="F11" i="14" s="1"/>
  <c r="F12" i="14" s="1"/>
  <c r="F13" i="14" s="1"/>
  <c r="F14" i="14" s="1"/>
  <c r="B8" i="14"/>
  <c r="B9" i="14" s="1"/>
  <c r="E11" i="15" l="1"/>
  <c r="F48" i="15" s="1"/>
  <c r="I11" i="15"/>
  <c r="H11" i="15"/>
  <c r="B63" i="14"/>
  <c r="B12" i="15" s="1"/>
  <c r="B11" i="15"/>
  <c r="J28" i="15"/>
  <c r="K28" i="15"/>
  <c r="K10" i="15"/>
  <c r="J10" i="15"/>
  <c r="H61" i="14"/>
  <c r="E73" i="14"/>
  <c r="G32" i="14"/>
  <c r="D64" i="14" s="1"/>
  <c r="F43" i="14"/>
  <c r="I30" i="14"/>
  <c r="I73" i="14"/>
  <c r="D41" i="14"/>
  <c r="D42" i="14"/>
  <c r="E63" i="15"/>
  <c r="E30" i="14"/>
  <c r="F41" i="14"/>
  <c r="H73" i="14"/>
  <c r="C32" i="14"/>
  <c r="D30" i="14"/>
  <c r="F31" i="14"/>
  <c r="E42" i="14"/>
  <c r="C74" i="14"/>
  <c r="H74" i="14" s="1"/>
  <c r="E62" i="15"/>
  <c r="C65" i="15"/>
  <c r="E64" i="15" s="1"/>
  <c r="H31" i="14"/>
  <c r="F30" i="14"/>
  <c r="D31" i="14"/>
  <c r="D32" i="14" s="1"/>
  <c r="D61" i="14" s="1"/>
  <c r="I31" i="14"/>
  <c r="H30" i="14"/>
  <c r="E31" i="14"/>
  <c r="J31" i="14"/>
  <c r="J32" i="14" s="1"/>
  <c r="D67" i="14" s="1"/>
  <c r="E10" i="15"/>
  <c r="F47" i="15" s="1"/>
  <c r="C12" i="15"/>
  <c r="B64" i="14"/>
  <c r="B13" i="15" s="1"/>
  <c r="C63" i="14"/>
  <c r="B29" i="14"/>
  <c r="B43" i="14"/>
  <c r="B10" i="14"/>
  <c r="C75" i="14"/>
  <c r="B76" i="14"/>
  <c r="G44" i="14"/>
  <c r="C46" i="14"/>
  <c r="B28" i="14"/>
  <c r="D44" i="14"/>
  <c r="D45" i="14"/>
  <c r="B42" i="14"/>
  <c r="F42" i="14"/>
  <c r="D43" i="14"/>
  <c r="H43" i="14"/>
  <c r="E44" i="14"/>
  <c r="I44" i="14"/>
  <c r="E45" i="14"/>
  <c r="I45" i="14"/>
  <c r="E61" i="14"/>
  <c r="I61" i="14"/>
  <c r="C62" i="14"/>
  <c r="G45" i="14"/>
  <c r="G43" i="14"/>
  <c r="H44" i="14"/>
  <c r="H45" i="14"/>
  <c r="F45" i="14"/>
  <c r="I74" i="14" l="1"/>
  <c r="E32" i="14"/>
  <c r="D62" i="14" s="1"/>
  <c r="E12" i="15"/>
  <c r="H12" i="15"/>
  <c r="J12" i="15" s="1"/>
  <c r="I12" i="15"/>
  <c r="F49" i="15"/>
  <c r="C54" i="15" s="1"/>
  <c r="K55" i="15" s="1"/>
  <c r="K31" i="15"/>
  <c r="J31" i="15"/>
  <c r="K33" i="15"/>
  <c r="J33" i="15"/>
  <c r="J29" i="15"/>
  <c r="K29" i="15"/>
  <c r="K34" i="15"/>
  <c r="J34" i="15"/>
  <c r="K32" i="15"/>
  <c r="J32" i="15"/>
  <c r="J35" i="15"/>
  <c r="K35" i="15"/>
  <c r="K30" i="15"/>
  <c r="J30" i="15"/>
  <c r="J11" i="15"/>
  <c r="K12" i="15"/>
  <c r="K11" i="15"/>
  <c r="F46" i="14"/>
  <c r="D75" i="14" s="1"/>
  <c r="F32" i="14"/>
  <c r="D63" i="14" s="1"/>
  <c r="I32" i="14"/>
  <c r="D66" i="14" s="1"/>
  <c r="F61" i="14"/>
  <c r="E74" i="14"/>
  <c r="G46" i="14"/>
  <c r="D76" i="14" s="1"/>
  <c r="E46" i="14"/>
  <c r="D74" i="14" s="1"/>
  <c r="F74" i="14" s="1"/>
  <c r="D46" i="14"/>
  <c r="D73" i="14" s="1"/>
  <c r="K73" i="14" s="1"/>
  <c r="H32" i="14"/>
  <c r="D65" i="14" s="1"/>
  <c r="E65" i="15"/>
  <c r="J61" i="14"/>
  <c r="K61" i="14"/>
  <c r="F11" i="15"/>
  <c r="F28" i="15"/>
  <c r="F10" i="15"/>
  <c r="F29" i="15"/>
  <c r="C13" i="15"/>
  <c r="B77" i="14"/>
  <c r="C76" i="14"/>
  <c r="H62" i="14"/>
  <c r="J62" i="14" s="1"/>
  <c r="I62" i="14"/>
  <c r="K62" i="14" s="1"/>
  <c r="E62" i="14"/>
  <c r="F62" i="14" s="1"/>
  <c r="I75" i="14"/>
  <c r="K75" i="14" s="1"/>
  <c r="E75" i="14"/>
  <c r="F75" i="14" s="1"/>
  <c r="H75" i="14"/>
  <c r="J75" i="14" s="1"/>
  <c r="I46" i="14"/>
  <c r="D78" i="14" s="1"/>
  <c r="B44" i="14"/>
  <c r="B11" i="14"/>
  <c r="B30" i="14"/>
  <c r="I63" i="14"/>
  <c r="E63" i="14"/>
  <c r="H63" i="14"/>
  <c r="H46" i="14"/>
  <c r="D77" i="14" s="1"/>
  <c r="B65" i="14"/>
  <c r="B14" i="15" s="1"/>
  <c r="C64" i="14"/>
  <c r="J63" i="14" l="1"/>
  <c r="K63" i="14"/>
  <c r="F63" i="14"/>
  <c r="E13" i="15"/>
  <c r="I13" i="15"/>
  <c r="H13" i="15"/>
  <c r="J13" i="15" s="1"/>
  <c r="J73" i="14"/>
  <c r="K36" i="15"/>
  <c r="K41" i="15" s="1"/>
  <c r="J36" i="15"/>
  <c r="J41" i="15" s="1"/>
  <c r="C50" i="15"/>
  <c r="C55" i="15" s="1"/>
  <c r="K13" i="15"/>
  <c r="J74" i="14"/>
  <c r="F73" i="14"/>
  <c r="K74" i="14"/>
  <c r="F30" i="15"/>
  <c r="F12" i="15"/>
  <c r="C14" i="15"/>
  <c r="H64" i="14"/>
  <c r="J64" i="14" s="1"/>
  <c r="I64" i="14"/>
  <c r="K64" i="14" s="1"/>
  <c r="E64" i="14"/>
  <c r="F64" i="14" s="1"/>
  <c r="I76" i="14"/>
  <c r="K76" i="14" s="1"/>
  <c r="E76" i="14"/>
  <c r="F76" i="14" s="1"/>
  <c r="H76" i="14"/>
  <c r="J76" i="14" s="1"/>
  <c r="B78" i="14"/>
  <c r="C77" i="14"/>
  <c r="B66" i="14"/>
  <c r="B15" i="15" s="1"/>
  <c r="C65" i="14"/>
  <c r="I65" i="14" s="1"/>
  <c r="B45" i="14"/>
  <c r="D40" i="14" s="1"/>
  <c r="B31" i="14"/>
  <c r="D26" i="14" s="1"/>
  <c r="E26" i="14" s="1"/>
  <c r="F26" i="14" s="1"/>
  <c r="G26" i="14" s="1"/>
  <c r="H26" i="14" s="1"/>
  <c r="I26" i="14" s="1"/>
  <c r="J26" i="14" s="1"/>
  <c r="E14" i="15" l="1"/>
  <c r="H14" i="15"/>
  <c r="I14" i="15"/>
  <c r="K14" i="15" s="1"/>
  <c r="J14" i="15"/>
  <c r="F31" i="15"/>
  <c r="F13" i="15"/>
  <c r="C15" i="15"/>
  <c r="K65" i="14"/>
  <c r="E65" i="14"/>
  <c r="F65" i="14" s="1"/>
  <c r="H65" i="14"/>
  <c r="J65" i="14" s="1"/>
  <c r="H77" i="14"/>
  <c r="J77" i="14" s="1"/>
  <c r="I77" i="14"/>
  <c r="K77" i="14" s="1"/>
  <c r="E77" i="14"/>
  <c r="F77" i="14" s="1"/>
  <c r="E40" i="14"/>
  <c r="F40" i="14" s="1"/>
  <c r="G40" i="14" s="1"/>
  <c r="H40" i="14" s="1"/>
  <c r="I40" i="14" s="1"/>
  <c r="J40" i="14" s="1"/>
  <c r="B67" i="14"/>
  <c r="C66" i="14"/>
  <c r="C78" i="14"/>
  <c r="B79" i="14"/>
  <c r="C79" i="14" s="1"/>
  <c r="C67" i="14" l="1"/>
  <c r="B16" i="15"/>
  <c r="B17" i="15" s="1"/>
  <c r="E15" i="15"/>
  <c r="H15" i="15"/>
  <c r="I15" i="15"/>
  <c r="J15" i="15"/>
  <c r="K15" i="15"/>
  <c r="F32" i="15"/>
  <c r="F14" i="15"/>
  <c r="C16" i="15"/>
  <c r="H66" i="14"/>
  <c r="J66" i="14" s="1"/>
  <c r="E66" i="14"/>
  <c r="F66" i="14" s="1"/>
  <c r="I66" i="14"/>
  <c r="K66" i="14" s="1"/>
  <c r="H79" i="14"/>
  <c r="J79" i="14" s="1"/>
  <c r="I79" i="14"/>
  <c r="K79" i="14" s="1"/>
  <c r="E79" i="14"/>
  <c r="F79" i="14" s="1"/>
  <c r="H67" i="14"/>
  <c r="J67" i="14" s="1"/>
  <c r="I67" i="14"/>
  <c r="K67" i="14" s="1"/>
  <c r="E67" i="14"/>
  <c r="F67" i="14" s="1"/>
  <c r="I78" i="14"/>
  <c r="K78" i="14" s="1"/>
  <c r="E78" i="14"/>
  <c r="F78" i="14" s="1"/>
  <c r="H78" i="14"/>
  <c r="J78" i="14" s="1"/>
  <c r="J80" i="14" l="1"/>
  <c r="E16" i="15"/>
  <c r="H16" i="15"/>
  <c r="J16" i="15" s="1"/>
  <c r="I16" i="15"/>
  <c r="K16" i="15" s="1"/>
  <c r="K68" i="14"/>
  <c r="F68" i="14"/>
  <c r="F88" i="14" s="1"/>
  <c r="H88" i="14" s="1"/>
  <c r="K80" i="14"/>
  <c r="F15" i="15"/>
  <c r="F33" i="15"/>
  <c r="C17" i="15"/>
  <c r="F80" i="14"/>
  <c r="F89" i="14" s="1"/>
  <c r="H89" i="14" s="1"/>
  <c r="J68" i="14"/>
  <c r="E17" i="15" l="1"/>
  <c r="I17" i="15"/>
  <c r="H17" i="15"/>
  <c r="C81" i="14"/>
  <c r="K81" i="14"/>
  <c r="J89" i="14" s="1"/>
  <c r="K69" i="14"/>
  <c r="J88" i="14" s="1"/>
  <c r="J17" i="15"/>
  <c r="J18" i="15" s="1"/>
  <c r="K17" i="15"/>
  <c r="K18" i="15" s="1"/>
  <c r="C69" i="14"/>
  <c r="F90" i="14"/>
  <c r="F16" i="15"/>
  <c r="F34" i="15"/>
  <c r="H90" i="14"/>
  <c r="C82" i="14" l="1"/>
  <c r="I89" i="14" s="1"/>
  <c r="C70" i="14"/>
  <c r="I88" i="14" s="1"/>
  <c r="I90" i="14" s="1"/>
  <c r="D27" i="9" s="1"/>
  <c r="J90" i="14"/>
  <c r="C27" i="9"/>
  <c r="F17" i="15"/>
  <c r="F35" i="15"/>
  <c r="F36" i="15" l="1"/>
  <c r="C41" i="15" s="1"/>
  <c r="K42" i="15" s="1"/>
  <c r="C37" i="15"/>
  <c r="F18" i="15"/>
  <c r="C23" i="15" s="1"/>
  <c r="C56" i="15"/>
  <c r="J64" i="15" s="1"/>
  <c r="C19" i="15" l="1"/>
  <c r="F64" i="15"/>
  <c r="G64" i="15" s="1"/>
  <c r="C51" i="15"/>
  <c r="F63" i="15" l="1"/>
  <c r="G63" i="15" s="1"/>
  <c r="K63" i="15"/>
  <c r="I64" i="15"/>
  <c r="C42" i="15"/>
  <c r="C43" i="15" s="1"/>
  <c r="J63" i="15" s="1"/>
  <c r="C38" i="15"/>
  <c r="I63" i="15" l="1"/>
  <c r="C18" i="11" l="1"/>
  <c r="G31" i="11"/>
  <c r="F31" i="11"/>
  <c r="A40" i="11" l="1"/>
  <c r="H31" i="11"/>
  <c r="C31" i="11"/>
  <c r="B31" i="11"/>
  <c r="S29" i="11"/>
  <c r="L29" i="11"/>
  <c r="D29" i="11"/>
  <c r="I29" i="11" s="1"/>
  <c r="J29" i="11" s="1"/>
  <c r="N29" i="11" s="1"/>
  <c r="S28" i="11"/>
  <c r="L28" i="11"/>
  <c r="D28" i="11"/>
  <c r="I28" i="11" s="1"/>
  <c r="J28" i="11" s="1"/>
  <c r="N28" i="11" s="1"/>
  <c r="S27" i="11"/>
  <c r="L27" i="11"/>
  <c r="D27" i="11"/>
  <c r="I27" i="11" s="1"/>
  <c r="J27" i="11" s="1"/>
  <c r="N27" i="11" s="1"/>
  <c r="S26" i="11"/>
  <c r="L26" i="11"/>
  <c r="D26" i="11"/>
  <c r="I26" i="11" s="1"/>
  <c r="J26" i="11" s="1"/>
  <c r="N26" i="11" s="1"/>
  <c r="S25" i="11"/>
  <c r="L25" i="11"/>
  <c r="D25" i="11"/>
  <c r="I25" i="11" s="1"/>
  <c r="J25" i="11" s="1"/>
  <c r="N25" i="11" s="1"/>
  <c r="S24" i="11"/>
  <c r="L24" i="11"/>
  <c r="D24" i="11"/>
  <c r="I24" i="11" s="1"/>
  <c r="J24" i="11" s="1"/>
  <c r="N24" i="11" s="1"/>
  <c r="S23" i="11"/>
  <c r="L23" i="11"/>
  <c r="D23" i="11"/>
  <c r="I23" i="11" s="1"/>
  <c r="J23" i="11" s="1"/>
  <c r="N23" i="11" s="1"/>
  <c r="S22" i="11"/>
  <c r="L22" i="11"/>
  <c r="D22" i="11"/>
  <c r="I22" i="11" s="1"/>
  <c r="J22" i="11" s="1"/>
  <c r="N22" i="11" s="1"/>
  <c r="S21" i="11"/>
  <c r="L21" i="11"/>
  <c r="D21" i="11"/>
  <c r="I21" i="11" s="1"/>
  <c r="J21" i="11" s="1"/>
  <c r="N21" i="11" s="1"/>
  <c r="S20" i="11"/>
  <c r="L20" i="11"/>
  <c r="D20" i="1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S19" i="11"/>
  <c r="R19" i="11"/>
  <c r="T19" i="11" s="1"/>
  <c r="Q20" i="11" s="1"/>
  <c r="L19" i="11"/>
  <c r="M19" i="11" s="1"/>
  <c r="D19" i="11"/>
  <c r="J18" i="11"/>
  <c r="D18" i="11"/>
  <c r="A41" i="11" l="1"/>
  <c r="B40" i="11"/>
  <c r="L31" i="11"/>
  <c r="I7" i="11"/>
  <c r="I9" i="11" s="1"/>
  <c r="I20" i="11"/>
  <c r="J20" i="11" s="1"/>
  <c r="M20" i="11"/>
  <c r="M21" i="11" s="1"/>
  <c r="M22" i="11" s="1"/>
  <c r="M23" i="11" s="1"/>
  <c r="M24" i="11" s="1"/>
  <c r="M25" i="11" s="1"/>
  <c r="M26" i="11" s="1"/>
  <c r="M27" i="11" s="1"/>
  <c r="M28" i="11" s="1"/>
  <c r="M29" i="11" s="1"/>
  <c r="R20" i="11"/>
  <c r="T20" i="11" s="1"/>
  <c r="Q21" i="11" s="1"/>
  <c r="D31" i="11"/>
  <c r="I19" i="11"/>
  <c r="F18" i="11" l="1"/>
  <c r="F36" i="11" s="1"/>
  <c r="G18" i="11"/>
  <c r="G36" i="11" s="1"/>
  <c r="A42" i="11"/>
  <c r="B41" i="11"/>
  <c r="N20" i="11"/>
  <c r="R21" i="11"/>
  <c r="T21" i="11" s="1"/>
  <c r="Q22" i="11" s="1"/>
  <c r="I31" i="11"/>
  <c r="J19" i="11"/>
  <c r="G40" i="11" l="1"/>
  <c r="G42" i="11"/>
  <c r="G41" i="11"/>
  <c r="G39" i="11"/>
  <c r="F43" i="11"/>
  <c r="F41" i="11"/>
  <c r="F42" i="11"/>
  <c r="F39" i="11"/>
  <c r="F40" i="11"/>
  <c r="A43" i="11"/>
  <c r="G43" i="11" s="1"/>
  <c r="B42" i="11"/>
  <c r="R22" i="11"/>
  <c r="T22" i="11" s="1"/>
  <c r="Q23" i="11" s="1"/>
  <c r="J31" i="11"/>
  <c r="N19" i="11"/>
  <c r="A44" i="11" l="1"/>
  <c r="B43" i="11"/>
  <c r="R23" i="11"/>
  <c r="T23" i="11" s="1"/>
  <c r="Q24" i="11" s="1"/>
  <c r="N31" i="11"/>
  <c r="O19" i="1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F44" i="11" l="1"/>
  <c r="G44" i="11"/>
  <c r="A45" i="11"/>
  <c r="B44" i="11"/>
  <c r="R24" i="11"/>
  <c r="T24" i="11" s="1"/>
  <c r="Q25" i="11" s="1"/>
  <c r="F45" i="11" l="1"/>
  <c r="G45" i="11"/>
  <c r="A46" i="11"/>
  <c r="B45" i="11"/>
  <c r="R25" i="11"/>
  <c r="T25" i="11" s="1"/>
  <c r="Q26" i="11" s="1"/>
  <c r="F46" i="11" l="1"/>
  <c r="G46" i="11"/>
  <c r="A47" i="11"/>
  <c r="B46" i="11"/>
  <c r="R26" i="11"/>
  <c r="T26" i="11" s="1"/>
  <c r="Q27" i="11" s="1"/>
  <c r="F47" i="11" l="1"/>
  <c r="G47" i="11"/>
  <c r="A48" i="11"/>
  <c r="B47" i="11"/>
  <c r="R27" i="11"/>
  <c r="T27" i="11" s="1"/>
  <c r="Q28" i="11" s="1"/>
  <c r="F48" i="11" l="1"/>
  <c r="G48" i="11"/>
  <c r="A49" i="11"/>
  <c r="B48" i="11"/>
  <c r="R28" i="11"/>
  <c r="T28" i="11" s="1"/>
  <c r="Q29" i="11" s="1"/>
  <c r="F49" i="11" l="1"/>
  <c r="G49" i="11"/>
  <c r="B49" i="11"/>
  <c r="B51" i="11" s="1"/>
  <c r="B52" i="11" s="1"/>
  <c r="G51" i="11"/>
  <c r="G52" i="11" s="1"/>
  <c r="F51" i="11"/>
  <c r="F52" i="11" s="1"/>
  <c r="R29" i="11"/>
  <c r="T29" i="11" s="1"/>
  <c r="AS5" i="12" l="1"/>
  <c r="AS2" i="12"/>
  <c r="AK31" i="12"/>
  <c r="X31" i="12"/>
  <c r="P31" i="12"/>
  <c r="AE31" i="12" s="1"/>
  <c r="AS31" i="12" s="1"/>
  <c r="L31" i="12"/>
  <c r="F31" i="12"/>
  <c r="D31" i="12"/>
  <c r="C31" i="12"/>
  <c r="Z30" i="12"/>
  <c r="T30" i="12"/>
  <c r="P30" i="12"/>
  <c r="AE30" i="12" s="1"/>
  <c r="AS30" i="12" s="1"/>
  <c r="H30" i="12"/>
  <c r="E30" i="12"/>
  <c r="Z29" i="12"/>
  <c r="T29" i="12"/>
  <c r="P29" i="12"/>
  <c r="AE29" i="12" s="1"/>
  <c r="AS29" i="12" s="1"/>
  <c r="H29" i="12"/>
  <c r="E29" i="12"/>
  <c r="Z28" i="12"/>
  <c r="T28" i="12"/>
  <c r="P28" i="12"/>
  <c r="AE28" i="12" s="1"/>
  <c r="AS28" i="12" s="1"/>
  <c r="H28" i="12"/>
  <c r="E28" i="12"/>
  <c r="AI28" i="12" s="1"/>
  <c r="Z27" i="12"/>
  <c r="T27" i="12"/>
  <c r="P27" i="12"/>
  <c r="AE27" i="12" s="1"/>
  <c r="AS27" i="12" s="1"/>
  <c r="H27" i="12"/>
  <c r="E27" i="12"/>
  <c r="AI27" i="12" s="1"/>
  <c r="Z26" i="12"/>
  <c r="T26" i="12"/>
  <c r="P26" i="12"/>
  <c r="AE26" i="12" s="1"/>
  <c r="AS26" i="12" s="1"/>
  <c r="H26" i="12"/>
  <c r="E26" i="12"/>
  <c r="Z25" i="12"/>
  <c r="P25" i="12"/>
  <c r="AE25" i="12" s="1"/>
  <c r="AS25" i="12" s="1"/>
  <c r="G25" i="12"/>
  <c r="J25" i="12" s="1"/>
  <c r="M25" i="12" s="1"/>
  <c r="T25" i="12" s="1"/>
  <c r="E25" i="12"/>
  <c r="AI25" i="12" s="1"/>
  <c r="Z24" i="12"/>
  <c r="T24" i="12"/>
  <c r="P24" i="12"/>
  <c r="AE24" i="12" s="1"/>
  <c r="AS24" i="12" s="1"/>
  <c r="H24" i="12"/>
  <c r="E24" i="12"/>
  <c r="AI24" i="12" s="1"/>
  <c r="Z23" i="12"/>
  <c r="T23" i="12"/>
  <c r="P23" i="12"/>
  <c r="AE23" i="12" s="1"/>
  <c r="AS23" i="12" s="1"/>
  <c r="H23" i="12"/>
  <c r="G23" i="12"/>
  <c r="J23" i="12" s="1"/>
  <c r="M23" i="12" s="1"/>
  <c r="R23" i="12" s="1"/>
  <c r="W23" i="12" s="1"/>
  <c r="E23" i="12"/>
  <c r="AI23" i="12" s="1"/>
  <c r="Z22" i="12"/>
  <c r="T22" i="12"/>
  <c r="P22" i="12"/>
  <c r="AE22" i="12" s="1"/>
  <c r="AS22" i="12" s="1"/>
  <c r="H22" i="12"/>
  <c r="E22" i="12"/>
  <c r="AI22" i="12" s="1"/>
  <c r="Z21" i="12"/>
  <c r="T21" i="12"/>
  <c r="P21" i="12"/>
  <c r="AE21" i="12" s="1"/>
  <c r="AS21" i="12" s="1"/>
  <c r="H21" i="12"/>
  <c r="E21" i="12"/>
  <c r="AI21" i="12" s="1"/>
  <c r="Z20" i="12"/>
  <c r="T20" i="12"/>
  <c r="P20" i="12"/>
  <c r="AE20" i="12" s="1"/>
  <c r="AS20" i="12" s="1"/>
  <c r="H20" i="12"/>
  <c r="E20" i="12"/>
  <c r="AI20" i="12" s="1"/>
  <c r="Z19" i="12"/>
  <c r="T19" i="12"/>
  <c r="P19" i="12"/>
  <c r="AE19" i="12" s="1"/>
  <c r="AS19" i="12" s="1"/>
  <c r="H19" i="12"/>
  <c r="E19" i="12"/>
  <c r="AI19" i="12" s="1"/>
  <c r="Z18" i="12"/>
  <c r="P18" i="12"/>
  <c r="AE18" i="12" s="1"/>
  <c r="AS18" i="12" s="1"/>
  <c r="H18" i="12"/>
  <c r="E18" i="12"/>
  <c r="AI18" i="12" s="1"/>
  <c r="Z17" i="12"/>
  <c r="P17" i="12"/>
  <c r="AE17" i="12" s="1"/>
  <c r="AS17" i="12" s="1"/>
  <c r="H17" i="12"/>
  <c r="E17" i="12"/>
  <c r="AI17" i="12" s="1"/>
  <c r="Z16" i="12"/>
  <c r="P16" i="12"/>
  <c r="AE16" i="12" s="1"/>
  <c r="AS16" i="12" s="1"/>
  <c r="H16" i="12"/>
  <c r="E16" i="12"/>
  <c r="AI16" i="12" s="1"/>
  <c r="Z15" i="12"/>
  <c r="P15" i="12"/>
  <c r="AE15" i="12" s="1"/>
  <c r="AS15" i="12" s="1"/>
  <c r="E15" i="12"/>
  <c r="Z14" i="12"/>
  <c r="P14" i="12"/>
  <c r="AE14" i="12" s="1"/>
  <c r="AS14" i="12" s="1"/>
  <c r="E14" i="12"/>
  <c r="G14" i="12" s="1"/>
  <c r="J14" i="12" s="1"/>
  <c r="M14" i="12" s="1"/>
  <c r="Z13" i="12"/>
  <c r="P13" i="12"/>
  <c r="AE13" i="12" s="1"/>
  <c r="AS13" i="12" s="1"/>
  <c r="E13" i="12"/>
  <c r="AF12" i="12"/>
  <c r="AF13" i="12" s="1"/>
  <c r="AF14" i="12" s="1"/>
  <c r="AF15" i="12" s="1"/>
  <c r="AF16" i="12" s="1"/>
  <c r="Z12" i="12"/>
  <c r="T12" i="12"/>
  <c r="P12" i="12"/>
  <c r="AE12" i="12" s="1"/>
  <c r="AS12" i="12" s="1"/>
  <c r="H12" i="12"/>
  <c r="E12" i="12"/>
  <c r="AI12" i="12" s="1"/>
  <c r="AF11" i="12"/>
  <c r="Z11" i="12"/>
  <c r="T11" i="12"/>
  <c r="P11" i="12"/>
  <c r="AE11" i="12" s="1"/>
  <c r="AS11" i="12" s="1"/>
  <c r="H11" i="12"/>
  <c r="E11" i="12"/>
  <c r="Z10" i="12"/>
  <c r="P10" i="12"/>
  <c r="AE10" i="12" s="1"/>
  <c r="AS10" i="12" s="1"/>
  <c r="E10" i="12"/>
  <c r="D8" i="12"/>
  <c r="E8" i="12" s="1"/>
  <c r="F8" i="12" s="1"/>
  <c r="G8" i="12" s="1"/>
  <c r="H8" i="12" s="1"/>
  <c r="I8" i="12" s="1"/>
  <c r="J8" i="12" s="1"/>
  <c r="K8" i="12" s="1"/>
  <c r="L8" i="12" s="1"/>
  <c r="M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AA8" i="12" s="1"/>
  <c r="AB8" i="12" s="1"/>
  <c r="AF8" i="12" s="1"/>
  <c r="AG8" i="12" s="1"/>
  <c r="AH8" i="12" s="1"/>
  <c r="AI8" i="12" s="1"/>
  <c r="AJ8" i="12" s="1"/>
  <c r="AK8" i="12" s="1"/>
  <c r="AL8" i="12" s="1"/>
  <c r="AM8" i="12" s="1"/>
  <c r="AN8" i="12" s="1"/>
  <c r="AO8" i="12" s="1"/>
  <c r="AP8" i="12" s="1"/>
  <c r="AT8" i="12" s="1"/>
  <c r="AU8" i="12" s="1"/>
  <c r="AV8" i="12" s="1"/>
  <c r="AE4" i="12"/>
  <c r="AS4" i="12" s="1"/>
  <c r="B4" i="12"/>
  <c r="AE3" i="12"/>
  <c r="AS3" i="12" s="1"/>
  <c r="B3" i="12"/>
  <c r="AC1" i="12"/>
  <c r="AQ1" i="12" s="1"/>
  <c r="BB1" i="12" s="1"/>
  <c r="G24" i="12" l="1"/>
  <c r="J24" i="12" s="1"/>
  <c r="M24" i="12" s="1"/>
  <c r="R24" i="12" s="1"/>
  <c r="AI14" i="12"/>
  <c r="G17" i="12"/>
  <c r="J17" i="12" s="1"/>
  <c r="M17" i="12" s="1"/>
  <c r="R17" i="12" s="1"/>
  <c r="W17" i="12" s="1"/>
  <c r="G19" i="12"/>
  <c r="J19" i="12" s="1"/>
  <c r="M19" i="12" s="1"/>
  <c r="R19" i="12" s="1"/>
  <c r="W19" i="12" s="1"/>
  <c r="G20" i="12"/>
  <c r="J20" i="12" s="1"/>
  <c r="M20" i="12" s="1"/>
  <c r="R20" i="12" s="1"/>
  <c r="W20" i="12" s="1"/>
  <c r="G21" i="12"/>
  <c r="J21" i="12" s="1"/>
  <c r="M21" i="12" s="1"/>
  <c r="R21" i="12" s="1"/>
  <c r="W21" i="12" s="1"/>
  <c r="G22" i="12"/>
  <c r="J22" i="12" s="1"/>
  <c r="M22" i="12" s="1"/>
  <c r="R22" i="12" s="1"/>
  <c r="W22" i="12" s="1"/>
  <c r="G16" i="12"/>
  <c r="J16" i="12" s="1"/>
  <c r="M16" i="12" s="1"/>
  <c r="R16" i="12" s="1"/>
  <c r="G18" i="12"/>
  <c r="J18" i="12" s="1"/>
  <c r="M18" i="12" s="1"/>
  <c r="R18" i="12" s="1"/>
  <c r="W18" i="12" s="1"/>
  <c r="T14" i="12"/>
  <c r="R14" i="12"/>
  <c r="W16" i="12"/>
  <c r="AF17" i="12"/>
  <c r="AG16" i="12"/>
  <c r="G11" i="12"/>
  <c r="J11" i="12" s="1"/>
  <c r="M11" i="12" s="1"/>
  <c r="R11" i="12" s="1"/>
  <c r="AG11" i="12"/>
  <c r="AG14" i="12"/>
  <c r="G26" i="12"/>
  <c r="G30" i="12"/>
  <c r="J30" i="12" s="1"/>
  <c r="M30" i="12" s="1"/>
  <c r="R30" i="12" s="1"/>
  <c r="H31" i="12"/>
  <c r="T16" i="12"/>
  <c r="U16" i="12" s="1"/>
  <c r="J26" i="12"/>
  <c r="M26" i="12" s="1"/>
  <c r="R26" i="12" s="1"/>
  <c r="G29" i="12"/>
  <c r="J29" i="12" s="1"/>
  <c r="M29" i="12" s="1"/>
  <c r="R29" i="12" s="1"/>
  <c r="E31" i="12"/>
  <c r="I31" i="12" s="1"/>
  <c r="AI11" i="12"/>
  <c r="G13" i="12"/>
  <c r="J13" i="12" s="1"/>
  <c r="M13" i="12" s="1"/>
  <c r="AI13" i="12"/>
  <c r="AG13" i="12"/>
  <c r="AI15" i="12"/>
  <c r="G15" i="12"/>
  <c r="J15" i="12" s="1"/>
  <c r="M15" i="12" s="1"/>
  <c r="AG15" i="12"/>
  <c r="R25" i="12"/>
  <c r="U25" i="12" s="1"/>
  <c r="AI26" i="12"/>
  <c r="G28" i="12"/>
  <c r="J28" i="12" s="1"/>
  <c r="M28" i="12" s="1"/>
  <c r="R28" i="12" s="1"/>
  <c r="AI30" i="12"/>
  <c r="AG10" i="12"/>
  <c r="G10" i="12"/>
  <c r="AI10" i="12"/>
  <c r="AG12" i="12"/>
  <c r="G12" i="12"/>
  <c r="J12" i="12" s="1"/>
  <c r="M12" i="12" s="1"/>
  <c r="R12" i="12" s="1"/>
  <c r="T17" i="12"/>
  <c r="U17" i="12" s="1"/>
  <c r="AA17" i="12" s="1"/>
  <c r="AB17" i="12" s="1"/>
  <c r="U19" i="12"/>
  <c r="AA19" i="12" s="1"/>
  <c r="AB19" i="12" s="1"/>
  <c r="U22" i="12"/>
  <c r="AA22" i="12" s="1"/>
  <c r="AB22" i="12" s="1"/>
  <c r="U23" i="12"/>
  <c r="AA23" i="12" s="1"/>
  <c r="AB23" i="12" s="1"/>
  <c r="G27" i="12"/>
  <c r="J27" i="12" s="1"/>
  <c r="M27" i="12" s="1"/>
  <c r="R27" i="12" s="1"/>
  <c r="AI29" i="12"/>
  <c r="Z31" i="12"/>
  <c r="Y31" i="12" s="1"/>
  <c r="U14" i="12" l="1"/>
  <c r="T18" i="12"/>
  <c r="U18" i="12" s="1"/>
  <c r="AA18" i="12" s="1"/>
  <c r="AB18" i="12" s="1"/>
  <c r="AA16" i="12"/>
  <c r="AB16" i="12" s="1"/>
  <c r="AJ16" i="12" s="1"/>
  <c r="W24" i="12"/>
  <c r="U24" i="12"/>
  <c r="AA24" i="12" s="1"/>
  <c r="AB24" i="12" s="1"/>
  <c r="U21" i="12"/>
  <c r="AA21" i="12" s="1"/>
  <c r="AB21" i="12" s="1"/>
  <c r="U20" i="12"/>
  <c r="AA20" i="12" s="1"/>
  <c r="AB20" i="12" s="1"/>
  <c r="W28" i="12"/>
  <c r="U28" i="12"/>
  <c r="AA28" i="12" s="1"/>
  <c r="AB28" i="12" s="1"/>
  <c r="W29" i="12"/>
  <c r="U29" i="12"/>
  <c r="W27" i="12"/>
  <c r="U27" i="12"/>
  <c r="W12" i="12"/>
  <c r="U12" i="12"/>
  <c r="W30" i="12"/>
  <c r="U30" i="12"/>
  <c r="AF18" i="12"/>
  <c r="AG17" i="12"/>
  <c r="AJ17" i="12" s="1"/>
  <c r="G31" i="12"/>
  <c r="J10" i="12"/>
  <c r="R15" i="12"/>
  <c r="T15" i="12"/>
  <c r="W14" i="12"/>
  <c r="AA14" i="12" s="1"/>
  <c r="AB14" i="12"/>
  <c r="AJ14" i="12" s="1"/>
  <c r="AI31" i="12"/>
  <c r="AH31" i="12" s="1"/>
  <c r="W11" i="12"/>
  <c r="U11" i="12"/>
  <c r="W25" i="12"/>
  <c r="AA25" i="12" s="1"/>
  <c r="AB25" i="12" s="1"/>
  <c r="R13" i="12"/>
  <c r="T13" i="12"/>
  <c r="W26" i="12"/>
  <c r="U26" i="12"/>
  <c r="U13" i="12" l="1"/>
  <c r="W13" i="12"/>
  <c r="AA13" i="12" s="1"/>
  <c r="AB13" i="12" s="1"/>
  <c r="AJ13" i="12" s="1"/>
  <c r="J31" i="12"/>
  <c r="M10" i="12"/>
  <c r="AF19" i="12"/>
  <c r="AG18" i="12"/>
  <c r="AA26" i="12"/>
  <c r="AB26" i="12" s="1"/>
  <c r="AA11" i="12"/>
  <c r="AB11" i="12" s="1"/>
  <c r="AJ11" i="12" s="1"/>
  <c r="AA12" i="12"/>
  <c r="AB12" i="12" s="1"/>
  <c r="AJ12" i="12" s="1"/>
  <c r="AA27" i="12"/>
  <c r="AB27" i="12" s="1"/>
  <c r="U15" i="12"/>
  <c r="AA29" i="12"/>
  <c r="AB29" i="12" s="1"/>
  <c r="W15" i="12"/>
  <c r="AA30" i="12"/>
  <c r="AB30" i="12" s="1"/>
  <c r="AJ18" i="12" l="1"/>
  <c r="AA15" i="12"/>
  <c r="AB15" i="12" s="1"/>
  <c r="AJ15" i="12" s="1"/>
  <c r="AF20" i="12"/>
  <c r="AG19" i="12"/>
  <c r="AJ19" i="12" s="1"/>
  <c r="R10" i="12"/>
  <c r="M31" i="12"/>
  <c r="T10" i="12"/>
  <c r="U10" i="12" l="1"/>
  <c r="T31" i="12"/>
  <c r="S31" i="12" s="1"/>
  <c r="R31" i="12"/>
  <c r="Q31" i="12" s="1"/>
  <c r="W10" i="12"/>
  <c r="W31" i="12" s="1"/>
  <c r="AF21" i="12"/>
  <c r="AG20" i="12"/>
  <c r="AJ20" i="12" s="1"/>
  <c r="V31" i="12" l="1"/>
  <c r="AF22" i="12"/>
  <c r="AG21" i="12"/>
  <c r="U31" i="12"/>
  <c r="AA10" i="12"/>
  <c r="AA31" i="12" l="1"/>
  <c r="AB10" i="12"/>
  <c r="AJ21" i="12"/>
  <c r="AF23" i="12"/>
  <c r="AG22" i="12"/>
  <c r="AJ22" i="12" s="1"/>
  <c r="AJ10" i="12" l="1"/>
  <c r="AB31" i="12"/>
  <c r="AF24" i="12"/>
  <c r="AG23" i="12"/>
  <c r="AJ23" i="12" s="1"/>
  <c r="AF26" i="12" l="1"/>
  <c r="AG26" i="12" s="1"/>
  <c r="AJ26" i="12" s="1"/>
  <c r="AF25" i="12"/>
  <c r="AG24" i="12"/>
  <c r="AJ24" i="12" s="1"/>
  <c r="AF27" i="12" l="1"/>
  <c r="AG25" i="12"/>
  <c r="AJ25" i="12" s="1"/>
  <c r="AF28" i="12" l="1"/>
  <c r="AF29" i="12"/>
  <c r="AG29" i="12" s="1"/>
  <c r="AJ29" i="12" s="1"/>
  <c r="AG27" i="12"/>
  <c r="AJ27" i="12" s="1"/>
  <c r="AF30" i="12" l="1"/>
  <c r="AG30" i="12" s="1"/>
  <c r="AG28" i="12"/>
  <c r="AJ28" i="12" s="1"/>
  <c r="AJ30" i="12" l="1"/>
  <c r="AJ31" i="12" s="1"/>
  <c r="AV31" i="12" s="1"/>
  <c r="AG31" i="12"/>
  <c r="AF31" i="12" s="1"/>
  <c r="AL31" i="12" l="1"/>
  <c r="AP31" i="12" s="1"/>
  <c r="AM31" i="12" l="1"/>
  <c r="AO31" i="12" s="1"/>
  <c r="E73" i="10" l="1"/>
  <c r="E72" i="10"/>
  <c r="E71" i="10"/>
  <c r="E50" i="10"/>
  <c r="E49" i="10"/>
  <c r="E38" i="10"/>
  <c r="E37" i="10"/>
  <c r="E36" i="10"/>
  <c r="B20" i="10"/>
  <c r="B21" i="10" s="1"/>
  <c r="G18" i="10"/>
  <c r="F18" i="10"/>
  <c r="E18" i="10"/>
  <c r="G11" i="10"/>
  <c r="G22" i="10" s="1"/>
  <c r="E61" i="10" s="1"/>
  <c r="F11" i="10"/>
  <c r="F20" i="10" s="1"/>
  <c r="E47" i="10" s="1"/>
  <c r="E19" i="10"/>
  <c r="E34" i="10" s="1"/>
  <c r="F5" i="10"/>
  <c r="G5" i="10" l="1"/>
  <c r="G13" i="10" s="1"/>
  <c r="C66" i="10" s="1"/>
  <c r="F13" i="10"/>
  <c r="C54" i="10" s="1"/>
  <c r="G23" i="10"/>
  <c r="E62" i="10" s="1"/>
  <c r="E20" i="10"/>
  <c r="E35" i="10" s="1"/>
  <c r="F21" i="10"/>
  <c r="E48" i="10" s="1"/>
  <c r="G21" i="10"/>
  <c r="E60" i="10" s="1"/>
  <c r="E12" i="10"/>
  <c r="B22" i="10"/>
  <c r="F19" i="10"/>
  <c r="E74" i="10"/>
  <c r="C18" i="9" s="1"/>
  <c r="C25" i="9" s="1"/>
  <c r="G19" i="10"/>
  <c r="G20" i="10"/>
  <c r="E59" i="10" s="1"/>
  <c r="D32" i="10" l="1"/>
  <c r="I35" i="10" s="1"/>
  <c r="K35" i="10" s="1"/>
  <c r="J35" i="10"/>
  <c r="L35" i="10" s="1"/>
  <c r="J36" i="10"/>
  <c r="L36" i="10" s="1"/>
  <c r="J34" i="10"/>
  <c r="L34" i="10" s="1"/>
  <c r="I36" i="10"/>
  <c r="K36" i="10" s="1"/>
  <c r="I34" i="10"/>
  <c r="K34" i="10" s="1"/>
  <c r="J37" i="10"/>
  <c r="L37" i="10" s="1"/>
  <c r="B23" i="10"/>
  <c r="G12" i="10"/>
  <c r="E58" i="10"/>
  <c r="E46" i="10"/>
  <c r="F12" i="10"/>
  <c r="F35" i="10"/>
  <c r="G35" i="10" s="1"/>
  <c r="F36" i="10"/>
  <c r="G36" i="10" s="1"/>
  <c r="F34" i="10"/>
  <c r="G34" i="10" s="1"/>
  <c r="F37" i="10"/>
  <c r="G37" i="10" s="1"/>
  <c r="D56" i="10" l="1"/>
  <c r="D44" i="10"/>
  <c r="J46" i="10" s="1"/>
  <c r="L46" i="10" s="1"/>
  <c r="J61" i="10"/>
  <c r="L61" i="10" s="1"/>
  <c r="I37" i="10"/>
  <c r="K37" i="10" s="1"/>
  <c r="I61" i="10"/>
  <c r="K61" i="10" s="1"/>
  <c r="I59" i="10"/>
  <c r="K59" i="10" s="1"/>
  <c r="I60" i="10"/>
  <c r="K60" i="10" s="1"/>
  <c r="I58" i="10"/>
  <c r="K58" i="10" s="1"/>
  <c r="J58" i="10"/>
  <c r="L58" i="10" s="1"/>
  <c r="J59" i="10"/>
  <c r="L59" i="10" s="1"/>
  <c r="J60" i="10"/>
  <c r="L60" i="10" s="1"/>
  <c r="F59" i="10"/>
  <c r="G59" i="10" s="1"/>
  <c r="F60" i="10"/>
  <c r="G60" i="10" s="1"/>
  <c r="F61" i="10"/>
  <c r="G61" i="10" s="1"/>
  <c r="F58" i="10"/>
  <c r="G58" i="10" s="1"/>
  <c r="I62" i="10"/>
  <c r="J47" i="10" l="1"/>
  <c r="L47" i="10" s="1"/>
  <c r="J48" i="10"/>
  <c r="L48" i="10" s="1"/>
  <c r="F47" i="10"/>
  <c r="G47" i="10" s="1"/>
  <c r="F49" i="10"/>
  <c r="G49" i="10" s="1"/>
  <c r="I46" i="10"/>
  <c r="K46" i="10" s="1"/>
  <c r="J49" i="10"/>
  <c r="L49" i="10" s="1"/>
  <c r="F46" i="10"/>
  <c r="G46" i="10" s="1"/>
  <c r="I47" i="10"/>
  <c r="K47" i="10" s="1"/>
  <c r="I48" i="10"/>
  <c r="K48" i="10" s="1"/>
  <c r="F48" i="10"/>
  <c r="G48" i="10" s="1"/>
  <c r="F50" i="10"/>
  <c r="G50" i="10" s="1"/>
  <c r="I49" i="10"/>
  <c r="K49" i="10" s="1"/>
  <c r="J38" i="10"/>
  <c r="L38" i="10" s="1"/>
  <c r="L39" i="10" s="1"/>
  <c r="I38" i="10"/>
  <c r="K38" i="10" s="1"/>
  <c r="J62" i="10"/>
  <c r="L62" i="10" s="1"/>
  <c r="L63" i="10" s="1"/>
  <c r="F62" i="10"/>
  <c r="G62" i="10" s="1"/>
  <c r="I50" i="10"/>
  <c r="K50" i="10" s="1"/>
  <c r="J50" i="10"/>
  <c r="L50" i="10" s="1"/>
  <c r="F38" i="10"/>
  <c r="G38" i="10" s="1"/>
  <c r="K62" i="10"/>
  <c r="K63" i="10" s="1"/>
  <c r="G51" i="10" l="1"/>
  <c r="K51" i="10"/>
  <c r="D52" i="10"/>
  <c r="G39" i="10"/>
  <c r="D40" i="10" s="1"/>
  <c r="G63" i="10"/>
  <c r="D64" i="10" s="1"/>
  <c r="C64" i="10" s="1"/>
  <c r="L51" i="10"/>
  <c r="K39" i="10"/>
  <c r="L40" i="10" l="1"/>
  <c r="D53" i="10"/>
  <c r="C53" i="10" s="1"/>
  <c r="F72" i="10" s="1"/>
  <c r="C52" i="10"/>
  <c r="D41" i="10"/>
  <c r="C41" i="10" s="1"/>
  <c r="F71" i="10" s="1"/>
  <c r="C40" i="10"/>
  <c r="L52" i="10"/>
  <c r="L53" i="10" s="1"/>
  <c r="G72" i="10" s="1"/>
  <c r="L64" i="10"/>
  <c r="L65" i="10" s="1"/>
  <c r="G73" i="10" s="1"/>
  <c r="L41" i="10"/>
  <c r="G71" i="10" s="1"/>
  <c r="D65" i="10"/>
  <c r="C65" i="10" s="1"/>
  <c r="F73" i="10" s="1"/>
  <c r="F74" i="10" s="1"/>
  <c r="G74" i="10" l="1"/>
  <c r="D18" i="9"/>
  <c r="F18" i="9" l="1"/>
  <c r="F25" i="9" s="1"/>
  <c r="E18" i="9"/>
  <c r="E25" i="9" s="1"/>
  <c r="F27" i="9"/>
  <c r="E27" i="9" l="1"/>
  <c r="C20" i="15"/>
  <c r="F62" i="15" l="1"/>
  <c r="G62" i="15" s="1"/>
  <c r="C24" i="15"/>
  <c r="C25" i="15" s="1"/>
  <c r="J62" i="15" s="1"/>
  <c r="G65" i="15" l="1"/>
  <c r="I62" i="15"/>
  <c r="I65" i="15" l="1"/>
  <c r="C28" i="9" s="1"/>
  <c r="J65" i="15" l="1"/>
  <c r="D28" i="9" s="1"/>
  <c r="E28" i="9" s="1"/>
  <c r="E30" i="9" s="1"/>
  <c r="E36" i="9" s="1"/>
  <c r="F38" i="9" s="1"/>
  <c r="C30" i="9"/>
  <c r="F28" i="9" l="1"/>
  <c r="F30" i="9" s="1"/>
  <c r="F37" i="9" s="1"/>
  <c r="K23" i="15"/>
  <c r="J23" i="15"/>
  <c r="K24" i="15" l="1"/>
  <c r="K62" i="15" s="1"/>
  <c r="K64" i="15"/>
  <c r="K65" i="15" l="1"/>
</calcChain>
</file>

<file path=xl/sharedStrings.xml><?xml version="1.0" encoding="utf-8"?>
<sst xmlns="http://schemas.openxmlformats.org/spreadsheetml/2006/main" count="573" uniqueCount="396">
  <si>
    <t>Description</t>
  </si>
  <si>
    <t>Maturity Date</t>
  </si>
  <si>
    <t>Modified Duration</t>
  </si>
  <si>
    <t>Effective Duration</t>
  </si>
  <si>
    <t>Total</t>
  </si>
  <si>
    <t>Year</t>
  </si>
  <si>
    <t>Year-end Information</t>
  </si>
  <si>
    <t>Unpaid</t>
  </si>
  <si>
    <t>Payment</t>
  </si>
  <si>
    <t>Age</t>
  </si>
  <si>
    <t>Accident Year</t>
  </si>
  <si>
    <t>Property</t>
  </si>
  <si>
    <t>Liability</t>
  </si>
  <si>
    <t>Paid in</t>
  </si>
  <si>
    <t>etc.</t>
  </si>
  <si>
    <t>Step 2:  Calculation of duration for claims liabilities</t>
  </si>
  <si>
    <t>Discounted Payment</t>
  </si>
  <si>
    <t>(1)</t>
  </si>
  <si>
    <t>(2)</t>
  </si>
  <si>
    <t>(3)</t>
  </si>
  <si>
    <t>(4)</t>
  </si>
  <si>
    <t>(5)</t>
  </si>
  <si>
    <t>(6)</t>
  </si>
  <si>
    <t>(9)</t>
  </si>
  <si>
    <t>(10)</t>
  </si>
  <si>
    <t>(11)</t>
  </si>
  <si>
    <t>(12)</t>
  </si>
  <si>
    <t>Step 1: Future payment for claims liabilities</t>
  </si>
  <si>
    <t>Step 1: Future payment for assets</t>
  </si>
  <si>
    <t>Duration</t>
  </si>
  <si>
    <t>Claims</t>
  </si>
  <si>
    <t>Modified</t>
  </si>
  <si>
    <t>Liabilities</t>
  </si>
  <si>
    <t>Par value</t>
  </si>
  <si>
    <t>Market value</t>
  </si>
  <si>
    <t>Step 2:  Calculation of duration for assets</t>
  </si>
  <si>
    <t>Market  Value</t>
  </si>
  <si>
    <t>Bond #1</t>
  </si>
  <si>
    <t xml:space="preserve"> Bond #2</t>
  </si>
  <si>
    <t>Bond #3</t>
  </si>
  <si>
    <t>Cash flows</t>
  </si>
  <si>
    <t>Cash Flows</t>
  </si>
  <si>
    <t>Discounted Cash Flows</t>
  </si>
  <si>
    <t>Effective</t>
  </si>
  <si>
    <t>PV of Unpaid</t>
  </si>
  <si>
    <t>PFAD</t>
  </si>
  <si>
    <t>APV of Unpaid</t>
  </si>
  <si>
    <t xml:space="preserve"> Interest rate shock factor </t>
  </si>
  <si>
    <t>(01)</t>
  </si>
  <si>
    <t>(02)</t>
  </si>
  <si>
    <t>(03)</t>
  </si>
  <si>
    <t>(04)</t>
  </si>
  <si>
    <t>Coupon # (k)</t>
  </si>
  <si>
    <t>Valuation Date</t>
  </si>
  <si>
    <t>Appendix</t>
  </si>
  <si>
    <t>Sheet</t>
  </si>
  <si>
    <t>30.66</t>
  </si>
  <si>
    <t>MCT (BAAT) MARKET RISK CAPITAL (MARGIN) REQUIREMENTS</t>
  </si>
  <si>
    <t>($'000)</t>
  </si>
  <si>
    <t>Capital (Margin) Required for Interest Rate Risk</t>
  </si>
  <si>
    <t>Modified or effective duration</t>
  </si>
  <si>
    <t>Dollar fair value change
(01)x(02)xΔy</t>
  </si>
  <si>
    <t>Dollar fair value change
(01)x(02)x(-Δy)</t>
  </si>
  <si>
    <t>Fair value</t>
  </si>
  <si>
    <t>(55)</t>
  </si>
  <si>
    <t>Interest rate sensitive assets:</t>
  </si>
  <si>
    <t xml:space="preserve">   Term deposits</t>
  </si>
  <si>
    <t>01</t>
  </si>
  <si>
    <t xml:space="preserve">   Bonds and debentures</t>
  </si>
  <si>
    <t>02</t>
  </si>
  <si>
    <t xml:space="preserve">   Commercial paper</t>
  </si>
  <si>
    <t>03</t>
  </si>
  <si>
    <t xml:space="preserve">   Loans</t>
  </si>
  <si>
    <t>04</t>
  </si>
  <si>
    <t xml:space="preserve">   Mortgages</t>
  </si>
  <si>
    <t>05</t>
  </si>
  <si>
    <t xml:space="preserve">   MBS and ABS</t>
  </si>
  <si>
    <t>06</t>
  </si>
  <si>
    <t xml:space="preserve">   Preferred shares</t>
  </si>
  <si>
    <t>07</t>
  </si>
  <si>
    <t xml:space="preserve">   Other (specify)</t>
  </si>
  <si>
    <t>08</t>
  </si>
  <si>
    <t>Total interest rate sensitive assets</t>
  </si>
  <si>
    <t>09</t>
  </si>
  <si>
    <t>Interest rate sensitive liabilities:</t>
  </si>
  <si>
    <t xml:space="preserve">   Net unpaid claims and adjustment expenses</t>
  </si>
  <si>
    <t>10</t>
  </si>
  <si>
    <t xml:space="preserve">   Net premium liabilities</t>
  </si>
  <si>
    <t>11</t>
  </si>
  <si>
    <t xml:space="preserve">   Other as approved by OSFI</t>
  </si>
  <si>
    <t>12</t>
  </si>
  <si>
    <t>Total interest rate sensitive liabilities</t>
  </si>
  <si>
    <t>19</t>
  </si>
  <si>
    <t>Notional value</t>
  </si>
  <si>
    <t>Dollar fair value Δy</t>
  </si>
  <si>
    <t>Dollar fair value -Δy</t>
  </si>
  <si>
    <t>Allowable interest rate derivatives:</t>
  </si>
  <si>
    <t>(05)</t>
  </si>
  <si>
    <t>(06)</t>
  </si>
  <si>
    <t>(07)</t>
  </si>
  <si>
    <t xml:space="preserve">   Long positions</t>
  </si>
  <si>
    <t>20</t>
  </si>
  <si>
    <t xml:space="preserve">   Short positions</t>
  </si>
  <si>
    <t>21</t>
  </si>
  <si>
    <t>Total allowable interest rate derivatives</t>
  </si>
  <si>
    <t>29</t>
  </si>
  <si>
    <t>Capital required for Δy shock increase</t>
  </si>
  <si>
    <t>30</t>
  </si>
  <si>
    <t>Capital required for Δy shock decrease</t>
  </si>
  <si>
    <t>31</t>
  </si>
  <si>
    <t>Total interest rate risk margin</t>
  </si>
  <si>
    <t>39</t>
  </si>
  <si>
    <t>Note: Δy = 1.25%</t>
  </si>
  <si>
    <r>
      <rPr>
        <sz val="11"/>
        <rFont val="Calibri"/>
        <family val="2"/>
      </rPr>
      <t>Coupon</t>
    </r>
    <r>
      <rPr>
        <sz val="11"/>
        <rFont val="Calibri"/>
        <family val="2"/>
        <scheme val="minor"/>
      </rPr>
      <t xml:space="preserve"> Rate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</si>
  <si>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2016 = 137 / (1-80%) * (95% - 80%)</t>
    </r>
  </si>
  <si>
    <r>
      <t>payout for AY 2015 @ 201</t>
    </r>
    <r>
      <rPr>
        <sz val="11"/>
        <rFont val="Calibri"/>
        <family val="2"/>
      </rPr>
      <t>7</t>
    </r>
    <r>
      <rPr>
        <sz val="11"/>
        <rFont val="Calibri"/>
        <family val="2"/>
        <scheme val="minor"/>
      </rPr>
      <t xml:space="preserve"> = 137 / (1-80%) * (100% - 95%)</t>
    </r>
  </si>
  <si>
    <r>
      <t>payout for AY 201</t>
    </r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 xml:space="preserve"> @ 2016 = 16 / (1-95%) * (100% - 95%)</t>
    </r>
  </si>
  <si>
    <r>
      <t>payout for AY 2015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258 / (1-35%) * (68% - 35%)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</si>
  <si>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2017 = 258 / (1-35%) * (80% - 68%)</t>
    </r>
  </si>
  <si>
    <r>
      <t>payout for AY 2014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186 / (1-68%) * (80% - 68%)</t>
    </r>
  </si>
  <si>
    <t>Appendix C</t>
  </si>
  <si>
    <t>ABC Insurance Company of Canada</t>
  </si>
  <si>
    <t>Sheet 1</t>
  </si>
  <si>
    <t>Sheet 2</t>
  </si>
  <si>
    <t>Sheet 3</t>
  </si>
  <si>
    <t>Premium Liabilities Analysis</t>
  </si>
  <si>
    <t>Net Basis</t>
  </si>
  <si>
    <t>As of December 31, XXXX</t>
  </si>
  <si>
    <t>(000s)</t>
  </si>
  <si>
    <t>Class of Insurance</t>
  </si>
  <si>
    <t>Direct
UPR</t>
  </si>
  <si>
    <t>Assumed
UPR</t>
  </si>
  <si>
    <t>Gross
UPR</t>
  </si>
  <si>
    <t>Ceded
UPR</t>
  </si>
  <si>
    <t>Net
UPR</t>
  </si>
  <si>
    <t>Expected Reinsur. Premium</t>
  </si>
  <si>
    <t>Selected Undisc. Loss Ratio (% Prem)</t>
  </si>
  <si>
    <t>Losses + ALAE</t>
  </si>
  <si>
    <t>Selected ULAE  Ratio (% Loss + ALAE)</t>
  </si>
  <si>
    <t xml:space="preserve">ULAE </t>
  </si>
  <si>
    <t>Undisc. Losses + LAE</t>
  </si>
  <si>
    <t>Discount Factor</t>
  </si>
  <si>
    <t>Discounted Losses + LAE</t>
  </si>
  <si>
    <t>Discount Factor (with MfAD)</t>
  </si>
  <si>
    <t>Discounted Losses + LAE (with Int. PfAD)</t>
  </si>
  <si>
    <t>Interest Rate PfAD</t>
  </si>
  <si>
    <t>Claims Dev't. MfAD</t>
  </si>
  <si>
    <t>Claims Dev't. PfAD</t>
  </si>
  <si>
    <t>Ceded Discounted Losses +ALAE</t>
  </si>
  <si>
    <t>Reinsur. MfAD</t>
  </si>
  <si>
    <t>Reinsur. PfAD</t>
  </si>
  <si>
    <t>Total PfAD</t>
  </si>
  <si>
    <t>Discounted Losses with PfADs</t>
  </si>
  <si>
    <t>Maint. Expense Ratio (% Gross Prem.)</t>
  </si>
  <si>
    <t>Maint. Expenses</t>
  </si>
  <si>
    <t>Contingent Comm. Rate (% Gross Prem.)</t>
  </si>
  <si>
    <t>Contingent Comm.</t>
  </si>
  <si>
    <t>Premium Liabilities</t>
  </si>
  <si>
    <t>Unearned (Ceded) Comm.</t>
  </si>
  <si>
    <t>Equity in UPR</t>
  </si>
  <si>
    <t>Max. Allowable DPAE</t>
  </si>
  <si>
    <t>Initial DPAE</t>
  </si>
  <si>
    <t>Booked DPAE</t>
  </si>
  <si>
    <t>Premium Deficiency</t>
  </si>
  <si>
    <t>Personal Property</t>
  </si>
  <si>
    <t>--</t>
  </si>
  <si>
    <t>Commercial Property</t>
  </si>
  <si>
    <t>Aircraft</t>
  </si>
  <si>
    <t>Auto - Liability - Regular</t>
  </si>
  <si>
    <t>Auto - PA - Regular</t>
  </si>
  <si>
    <t>Auto - Other - Regular</t>
  </si>
  <si>
    <t>Auto - Liability - Facility</t>
  </si>
  <si>
    <t>Auto - PA - Facility</t>
  </si>
  <si>
    <t>Auto - Other - Facility</t>
  </si>
  <si>
    <t>Boiler &amp; Machinery</t>
  </si>
  <si>
    <t>Credit</t>
  </si>
  <si>
    <t>Credit Protection</t>
  </si>
  <si>
    <t>Fidelity</t>
  </si>
  <si>
    <t>Hail</t>
  </si>
  <si>
    <t>Legal Expense</t>
  </si>
  <si>
    <t>Liability - Total</t>
  </si>
  <si>
    <t>Other Approved Products</t>
  </si>
  <si>
    <t>Surety - Total</t>
  </si>
  <si>
    <t>Title</t>
  </si>
  <si>
    <t>Marine</t>
  </si>
  <si>
    <t>Accident &amp; Sickness</t>
  </si>
  <si>
    <r>
      <t>(9)</t>
    </r>
    <r>
      <rPr>
        <sz val="11"/>
        <color theme="1"/>
        <rFont val="Calibri"/>
        <family val="2"/>
        <scheme val="minor"/>
      </rPr>
      <t xml:space="preserve"> n/a</t>
    </r>
  </si>
  <si>
    <t>(20) Reinsurance MfAD used for the valuation of claims liabilities</t>
  </si>
  <si>
    <t>(25) = (3) x (24)</t>
  </si>
  <si>
    <t>(32) From company accounting department</t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</si>
  <si>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</si>
  <si>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</si>
  <si>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t>(21) = (19) x (20)</t>
  </si>
  <si>
    <t>(26) Based on company budget and projected loss ratios</t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</si>
  <si>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</si>
  <si>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>(27) = (3) x (26)</t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</si>
  <si>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</si>
  <si>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</si>
  <si>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r>
      <t xml:space="preserve">(6) </t>
    </r>
    <r>
      <rPr>
        <sz val="11"/>
        <color theme="1"/>
        <rFont val="Calibri"/>
        <family val="2"/>
        <scheme val="minor"/>
      </rPr>
      <t xml:space="preserve">From company 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</si>
  <si>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</si>
  <si>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</si>
  <si>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>(30) = (5) - (28) + (29)</t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</si>
  <si>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</si>
  <si>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t xml:space="preserve"> </t>
  </si>
  <si>
    <t>Sheet 4</t>
  </si>
  <si>
    <r>
      <t xml:space="preserve">(33) = min [ (31) , (32) ] </t>
    </r>
    <r>
      <rPr>
        <sz val="11"/>
        <color theme="1"/>
        <rFont val="Calibri"/>
        <family val="2"/>
      </rPr>
      <t xml:space="preserve"> [input for P&amp;C return 20.10, row(43)]</t>
    </r>
  </si>
  <si>
    <r>
      <t xml:space="preserve">(34) =  - min [ (30) , 0 ] </t>
    </r>
    <r>
      <rPr>
        <sz val="11"/>
        <color theme="1"/>
        <rFont val="Calibri"/>
        <family val="2"/>
      </rPr>
      <t>[input for P&amp;C return 20.20, row (15)]</t>
    </r>
  </si>
  <si>
    <r>
      <t>(22) = (16) + (18) + (21)  [</t>
    </r>
    <r>
      <rPr>
        <sz val="11"/>
        <color theme="1"/>
        <rFont val="Calibri"/>
        <family val="2"/>
      </rPr>
      <t>input for P&amp;C annual return Page 30.64, Col (14) ]</t>
    </r>
  </si>
  <si>
    <t>(24) From Prem Liab Ed Note, appendix B, sheet 6, row (10)</t>
  </si>
  <si>
    <t>(1) From Prem Liab Ed Note, appendix B, sheet 1, column (1)</t>
  </si>
  <si>
    <t>(2) From Prem Liab Ed Note, appendix B, sheet 1, column (2)</t>
  </si>
  <si>
    <t>(10) Prem Liab Ed Note, appendix B, sheet 1, column (10)</t>
  </si>
  <si>
    <r>
      <t>(7)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</si>
  <si>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r>
      <t>(12)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</si>
  <si>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r>
      <t>(14)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</si>
  <si>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t>Premium Liabilities Effective Duration</t>
  </si>
  <si>
    <t>ABC INSURANCE COMPANY</t>
  </si>
  <si>
    <t>31 DECEMBER 2015</t>
  </si>
  <si>
    <t>Cash Flow (in $000's) for Determination of Discount Rate</t>
  </si>
  <si>
    <t>Reinvestment Rate</t>
  </si>
  <si>
    <t xml:space="preserve">Internal Rate of Return (IRR) on Cash Flows: </t>
  </si>
  <si>
    <t>IRR per Col (4)</t>
  </si>
  <si>
    <t>Estimated investment expense ratio</t>
  </si>
  <si>
    <t>Indicated discount rate net of expenses</t>
  </si>
  <si>
    <t>Cash In-flow from Assets</t>
  </si>
  <si>
    <t>Cash Outflow</t>
  </si>
  <si>
    <t>Net Inflow (Excess)</t>
  </si>
  <si>
    <t>Reinvested Funds</t>
  </si>
  <si>
    <t>(7)</t>
  </si>
  <si>
    <t>(8)</t>
  </si>
  <si>
    <t>(13)</t>
  </si>
  <si>
    <t>(14)</t>
  </si>
  <si>
    <t>(15)</t>
  </si>
  <si>
    <t>Cash from</t>
  </si>
  <si>
    <t>(To)/ From</t>
  </si>
  <si>
    <t>Payment of Net</t>
  </si>
  <si>
    <t>Cash</t>
  </si>
  <si>
    <t>Net inflow</t>
  </si>
  <si>
    <t>Cumulative</t>
  </si>
  <si>
    <t>Opening</t>
  </si>
  <si>
    <t>Interest</t>
  </si>
  <si>
    <t>Deposit /</t>
  </si>
  <si>
    <t>Closing</t>
  </si>
  <si>
    <t>Investment</t>
  </si>
  <si>
    <t>Reinvestment</t>
  </si>
  <si>
    <t>Inflow</t>
  </si>
  <si>
    <t>Policy Liabilities</t>
  </si>
  <si>
    <t>Withdrawal</t>
  </si>
  <si>
    <t>Outflow</t>
  </si>
  <si>
    <t>No Reinv/WD</t>
  </si>
  <si>
    <t>Excess</t>
  </si>
  <si>
    <t>With Reinv/WD</t>
  </si>
  <si>
    <t>Balance</t>
  </si>
  <si>
    <t>Earned on Reinv.</t>
  </si>
  <si>
    <t>(Withdrawal)</t>
  </si>
  <si>
    <t xml:space="preserve"> Balance</t>
  </si>
  <si>
    <t>See below</t>
  </si>
  <si>
    <t>= (2) + (3)</t>
  </si>
  <si>
    <t>= (4) - (5)</t>
  </si>
  <si>
    <t>= (5) + (6)</t>
  </si>
  <si>
    <t>= (2) - (5)</t>
  </si>
  <si>
    <t>Based on (8)</t>
  </si>
  <si>
    <t>= (4) - (7)</t>
  </si>
  <si>
    <t>Based on (10)</t>
  </si>
  <si>
    <t>= (15) prior year</t>
  </si>
  <si>
    <t>=(12) * Reinv. Rate</t>
  </si>
  <si>
    <t xml:space="preserve">= -(3) </t>
  </si>
  <si>
    <t xml:space="preserve"> =(12) + (13)+ (14) </t>
  </si>
  <si>
    <t>From Sheet 1</t>
  </si>
  <si>
    <t>Total ex 2015</t>
  </si>
  <si>
    <t>(31) = max [ (30) , 0 ]</t>
  </si>
  <si>
    <t>(13) = (11) x (12)</t>
  </si>
  <si>
    <t>(15) = (11) x (14)</t>
  </si>
  <si>
    <t>(16) = (15)  -  (13)</t>
  </si>
  <si>
    <t>(23) = (13) + (22)</t>
  </si>
  <si>
    <t>(18) = (13) x (17)</t>
  </si>
  <si>
    <t>Disc Factor</t>
  </si>
  <si>
    <t>Payment Lag (EOP)</t>
  </si>
  <si>
    <t>Claim Liabilities</t>
  </si>
  <si>
    <t>Prem Liabilities</t>
  </si>
  <si>
    <t>Present Value Factor</t>
  </si>
  <si>
    <t>Discounted to Time Zero</t>
  </si>
  <si>
    <t>Maintenance Expenses</t>
  </si>
  <si>
    <t>Maintenance Expenses should be paid during the time the UPR is being earned</t>
  </si>
  <si>
    <t>Unearned Premium Reserve for Property:</t>
  </si>
  <si>
    <t>Unearned Premium Reserve for Liability:</t>
  </si>
  <si>
    <t>Maintenance Expense Ratio (% UPR) =</t>
  </si>
  <si>
    <t>UPR</t>
  </si>
  <si>
    <t>ELR</t>
  </si>
  <si>
    <t>Undiscounted</t>
  </si>
  <si>
    <t>(2) Assume that all policies have 12-month terms with equal earning</t>
  </si>
  <si>
    <t>A</t>
  </si>
  <si>
    <t>Bond #2</t>
  </si>
  <si>
    <t>Duration of Unpaid Claim Liabilities</t>
  </si>
  <si>
    <t>Duration of Premium Liabilities</t>
  </si>
  <si>
    <r>
      <t xml:space="preserve">Unpaid as at December 31, </t>
    </r>
    <r>
      <rPr>
        <u/>
        <sz val="11"/>
        <rFont val="Calibri"/>
        <family val="2"/>
      </rPr>
      <t>2015</t>
    </r>
  </si>
  <si>
    <t>Date</t>
  </si>
  <si>
    <t>(4a)</t>
  </si>
  <si>
    <t>(4b)</t>
  </si>
  <si>
    <t>(4a) See Revised Educational Note:  Discounting and Cash Flow Considerations for P&amp;C Insurers - Appendix B, Sheet 3, row 17.</t>
  </si>
  <si>
    <t>(4b) See Revised Educational Note:  Discounting and Cash Flow Considerations for P&amp;C Insurers - Appendix B, Sheet 3, row 28.</t>
  </si>
  <si>
    <t>Underlying Duration Calculation</t>
  </si>
  <si>
    <r>
      <rPr>
        <sz val="11"/>
        <color theme="1"/>
        <rFont val="Calibri"/>
        <family val="2"/>
      </rPr>
      <t>(35)</t>
    </r>
    <r>
      <rPr>
        <sz val="11"/>
        <color theme="1"/>
        <rFont val="Calibri"/>
        <family val="2"/>
        <scheme val="minor"/>
      </rPr>
      <t xml:space="preserve"> = recalculation of (28) using discount rate + 0.1%</t>
    </r>
  </si>
  <si>
    <r>
      <rPr>
        <sz val="11"/>
        <color theme="1"/>
        <rFont val="Calibri"/>
        <family val="2"/>
      </rPr>
      <t>(36)</t>
    </r>
    <r>
      <rPr>
        <sz val="11"/>
        <color theme="1"/>
        <rFont val="Calibri"/>
        <family val="2"/>
        <scheme val="minor"/>
      </rPr>
      <t xml:space="preserve"> = recalculation of (28) using discount rate - 0.1%</t>
    </r>
  </si>
  <si>
    <t>PV Factor with -Δy</t>
  </si>
  <si>
    <t>PV Factor with +Δy</t>
  </si>
  <si>
    <t>Discounted Cash Flows with -Δy</t>
  </si>
  <si>
    <t>Discounted Cash Flows with +Δy</t>
  </si>
  <si>
    <t xml:space="preserve"> (6) Macaulay duration</t>
  </si>
  <si>
    <t xml:space="preserve"> (7) Modified duration</t>
  </si>
  <si>
    <t xml:space="preserve"> (12) Effective duration</t>
  </si>
  <si>
    <t>Discounted with -Δy</t>
  </si>
  <si>
    <t>Discounted with +Δy</t>
  </si>
  <si>
    <t>Step 3:  Weighted duration for claims liabilities</t>
  </si>
  <si>
    <t>PV of Prem</t>
  </si>
  <si>
    <t>Discount</t>
  </si>
  <si>
    <t>Factor</t>
  </si>
  <si>
    <t>APV of Prem</t>
  </si>
  <si>
    <t>Row 10 from Appendix A, Sheet 3</t>
  </si>
  <si>
    <t>Row 11 from Appendix A, Sheet 4</t>
  </si>
  <si>
    <t>Row 02 from Appendix A, Sheet 1</t>
  </si>
  <si>
    <t>Premium Liabilities
Δy= -0.1%</t>
  </si>
  <si>
    <t>Premium Liabilities
Δy= +0.1%</t>
  </si>
  <si>
    <t>(6) Macaulay duration</t>
  </si>
  <si>
    <t>Lag (yrs)</t>
  </si>
  <si>
    <t>AY Incremental Payment Pattern</t>
  </si>
  <si>
    <t>(6) Macaulay Duration</t>
  </si>
  <si>
    <t>(7) Modified Duration</t>
  </si>
  <si>
    <t>(3) From Appendix A, Sheet 2</t>
  </si>
  <si>
    <t>(11) Macaulay Duration</t>
  </si>
  <si>
    <t>(12) Modified Duration</t>
  </si>
  <si>
    <t>(17) Effective Duration:</t>
  </si>
  <si>
    <t>(8) Mean Accident Date of an AY</t>
  </si>
  <si>
    <t>(9) Mean Accident Date of UPR</t>
  </si>
  <si>
    <t>(10) Discount Factor at Time Zero of Prem Liab</t>
  </si>
  <si>
    <t>Maintenance</t>
  </si>
  <si>
    <t>(6) = Sumproduct of columns (2) and (5) divided by (5) total</t>
  </si>
  <si>
    <t>(8) Average accident date of a future accident year (July 1st)</t>
  </si>
  <si>
    <t xml:space="preserve">(9) Mean average accident date of premium liabilities (May 1st). </t>
  </si>
  <si>
    <t>(11) = (6) - (8) + (9)</t>
  </si>
  <si>
    <t>Duration of Bonds</t>
  </si>
  <si>
    <t>Semi-annual Coupon $</t>
  </si>
  <si>
    <t xml:space="preserve">Annual Δy = </t>
  </si>
  <si>
    <t xml:space="preserve"> (14) Effective duration (annual basis)</t>
  </si>
  <si>
    <t xml:space="preserve">Yield  (y)= </t>
  </si>
  <si>
    <t xml:space="preserve">Yield (y) = </t>
  </si>
  <si>
    <t xml:space="preserve">Semi-annual (1 basis point) Δy = </t>
  </si>
  <si>
    <t xml:space="preserve"> (13) Effective duration (semi-annual periods)</t>
  </si>
  <si>
    <t>Lag to Time Zero (yrs)</t>
  </si>
  <si>
    <t>Macaulay Duration</t>
  </si>
  <si>
    <t>Step 3:  Market Value Weighted Duration of Assets</t>
  </si>
  <si>
    <t xml:space="preserve">Expected Loss Ratio for Property = </t>
  </si>
  <si>
    <t xml:space="preserve">Expected Loss Ratio for Liability = </t>
  </si>
  <si>
    <t>(19) See Prem Liab Ed Note, Appendix C, Sheet 2</t>
  </si>
  <si>
    <t>Accident Year Payment Pattern</t>
  </si>
  <si>
    <t>(5) = (4a) + (4b)</t>
  </si>
  <si>
    <t>Notes</t>
  </si>
  <si>
    <t>Appendix B</t>
  </si>
  <si>
    <r>
      <t xml:space="preserve">Cells in red are expansions to the educational note </t>
    </r>
    <r>
      <rPr>
        <i/>
        <sz val="8.25"/>
        <color rgb="FFFF0000"/>
        <rFont val="Calibri"/>
        <family val="2"/>
      </rPr>
      <t>Discounting and Cash Flow Considerations for P&amp;C Insurers</t>
    </r>
    <r>
      <rPr>
        <sz val="11"/>
        <color rgb="FFFF0000"/>
        <rFont val="Calibri"/>
        <family val="2"/>
        <scheme val="minor"/>
      </rPr>
      <t xml:space="preserve">. </t>
    </r>
  </si>
  <si>
    <t>CASH FLOW MATCHING MODEL</t>
  </si>
  <si>
    <t>Yield (y) on a semi-annual basis</t>
  </si>
  <si>
    <t>Bond #1 yield:</t>
  </si>
  <si>
    <t>Bond #2 yield:</t>
  </si>
  <si>
    <t>Bond #3 yield:</t>
  </si>
  <si>
    <t>(4) [ 1 + y ]^-(2)</t>
  </si>
  <si>
    <t>(7) = (6) / [ 1 + y ]</t>
  </si>
  <si>
    <t>(12) = (11) / [ 1 + y ]</t>
  </si>
  <si>
    <t>(13) = [ 1 + y - Δy ]^-(2)</t>
  </si>
  <si>
    <t>(14) = [ 1 + y + Δy ]^-(2)</t>
  </si>
  <si>
    <t xml:space="preserve">IRR on Cash Flows (y): </t>
  </si>
  <si>
    <t>= 1 / (1 + y) ^ (2)</t>
  </si>
  <si>
    <t>= (6) / (1 + y)</t>
  </si>
  <si>
    <t>= 1 / (1 + y - Δy) ^ (2)</t>
  </si>
  <si>
    <t>Sumproduct of columns (2) and (5) divided by (5) Total</t>
  </si>
  <si>
    <t>= 1 / (1 + y + Δy) ^ (2)</t>
  </si>
  <si>
    <t>= (13) / 2</t>
  </si>
  <si>
    <t>From Appendix A, Sheet 2</t>
  </si>
  <si>
    <r>
      <rPr>
        <sz val="11"/>
        <color theme="1"/>
        <rFont val="Calibri"/>
        <family val="2"/>
      </rPr>
      <t>(37)</t>
    </r>
    <r>
      <rPr>
        <sz val="11"/>
        <color theme="1"/>
        <rFont val="Calibri"/>
        <family val="2"/>
        <scheme val="minor"/>
      </rPr>
      <t xml:space="preserve"> = [(36)-(35)] / [2 x 0.1% ] / (28)</t>
    </r>
  </si>
  <si>
    <t>= (3) x (4)</t>
  </si>
  <si>
    <t>= (3) x (8)</t>
  </si>
  <si>
    <t>= (3) x (9)</t>
  </si>
  <si>
    <t>= [(11) total - (12) total] / [ 2 x Δy ] / [(5) total]</t>
  </si>
  <si>
    <t>= [(10) total - (11) total] / [2 x Δy ] / [(5) total]</t>
  </si>
  <si>
    <t>(5) = (3) x (4)</t>
  </si>
  <si>
    <t>(10) = (5) total x ( 1 + y )^ [ (8) - (9) ]</t>
  </si>
  <si>
    <t>(15) = (3) x (13)</t>
  </si>
  <si>
    <t>(16) = (3) x (14)</t>
  </si>
  <si>
    <t>(17) [Discount Factor with +Δy  - Discount Factor with -Δy ] / [2 x Δy ] / (10)</t>
  </si>
  <si>
    <t>Semi-Annual Periods</t>
  </si>
  <si>
    <t>Annual (yrs)</t>
  </si>
  <si>
    <t>(7) Modified duration</t>
  </si>
  <si>
    <t>(8) Excel Duration (comparison):</t>
  </si>
  <si>
    <t>DURATION (Valuation Date, Maturity Date, Coupon Rate, Annual Yield Rate, Coupon Frequency, basis)</t>
  </si>
  <si>
    <t>Sumproduct of columns (2) and (5) divided by (5) Total; for annual basis divide by 2</t>
  </si>
  <si>
    <t>= (6) / (1 + y); for annual basis divide by 2</t>
  </si>
  <si>
    <t>Excel Yield (for comparison)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</si>
</sst>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yyyy/mm/dd;@"/>
    <numFmt numFmtId="166" formatCode="_(* #,##0_);_(* \(#,##0\);_(* &quot;-&quot;??_);_(@_)"/>
    <numFmt numFmtId="167" formatCode="_-* #,##0.00_-;_-* #,##0.00\-;_-* &quot;-&quot;??_-;_-@_-"/>
    <numFmt numFmtId="168" formatCode="_(* #,##0.0000_);_(* \(#,##0.0000\);_(* &quot;-&quot;??_);_(@_)"/>
    <numFmt numFmtId="169" formatCode="0.0000"/>
    <numFmt numFmtId="170" formatCode="0.0"/>
    <numFmt numFmtId="171" formatCode="#,##0.00000_);\(#,##0.00000\)"/>
    <numFmt numFmtId="172" formatCode="_-* #,##0_-;\-* #,##0_-;_-* &quot;-&quot;??_-;_-@_-"/>
    <numFmt numFmtId="173" formatCode="[$-1009]d\-mmm\-yy;@"/>
    <numFmt numFmtId="174" formatCode="#,##0;\(#,##0\)"/>
    <numFmt numFmtId="175" formatCode="0.0%"/>
    <numFmt numFmtId="176" formatCode="#,##0.000"/>
    <numFmt numFmtId="177" formatCode="#,##0.000;\(#,##0.000\)"/>
    <numFmt numFmtId="178" formatCode="_-* #,##0.000_-;\-* #,##0.000_-;_-* &quot;-&quot;??_-;_-@_-"/>
    <numFmt numFmtId="179" formatCode="\+0.00%&quot; on Prem Liab&quot;"/>
    <numFmt numFmtId="180" formatCode="0.000%"/>
    <numFmt numFmtId="181" formatCode="_-* #,##0.0000_-;\-* #,##0.0000_-;_-* &quot;-&quot;??_-;_-@_-"/>
    <numFmt numFmtId="182" formatCode="0.000"/>
    <numFmt numFmtId="183" formatCode="_ * #,##0.0000_)\ _$_ ;_ * \(#,##0.0000\)\ _$_ ;_ * &quot;-&quot;????_)\ _$_ ;_ @_ "/>
    <numFmt numFmtId="184" formatCode="_-* #,##0.0_-;\-* #,##0.0_-;_-* &quot;-&quot;??_-;_-@_-"/>
    <numFmt numFmtId="185" formatCode="_(* #,##0.0_);_(* \(#,##0.0\);_(* &quot;-&quot;??_);_(@_)"/>
    <numFmt numFmtId="186" formatCode="#,##0.0000;\(#,##0.0000\)"/>
    <numFmt numFmtId="187" formatCode="#,##0.0000_);\(#,##0.0000\)"/>
    <numFmt numFmtId="188" formatCode="#,##0.0;\-#,##0.0"/>
    <numFmt numFmtId="189" formatCode="_(* #,##0.00000_);_(* \(#,##0.00000\);_(* &quot;-&quot;??_);_(@_)"/>
    <numFmt numFmtId="190" formatCode="#,##0.00000;\(#,##0.0000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SWIS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6"/>
      <color indexed="18"/>
      <name val="Arial"/>
      <family val="2"/>
    </font>
    <font>
      <sz val="10"/>
      <color indexed="18"/>
      <name val="Arial"/>
      <family val="2"/>
    </font>
    <font>
      <i/>
      <sz val="8.25"/>
      <color rgb="FFFF0000"/>
      <name val="Calibri"/>
      <family val="2"/>
    </font>
    <font>
      <b/>
      <u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lightGray">
        <fgColor indexed="13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6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3" fillId="0" borderId="0"/>
    <xf numFmtId="0" fontId="40" fillId="7" borderId="0" applyNumberFormat="0" applyBorder="0">
      <alignment horizontal="centerContinuous"/>
      <protection locked="0"/>
    </xf>
    <xf numFmtId="0" fontId="3" fillId="0" borderId="0"/>
    <xf numFmtId="3" fontId="41" fillId="7" borderId="0" applyBorder="0">
      <alignment horizontal="right"/>
      <protection locked="0"/>
    </xf>
    <xf numFmtId="9" fontId="3" fillId="0" borderId="0" applyFont="0" applyFill="0" applyBorder="0" applyAlignment="0" applyProtection="0"/>
  </cellStyleXfs>
  <cellXfs count="428">
    <xf numFmtId="0" fontId="0" fillId="0" borderId="0" xfId="0"/>
    <xf numFmtId="0" fontId="0" fillId="0" borderId="0" xfId="0" applyAlignment="1">
      <alignment horizontal="right"/>
    </xf>
    <xf numFmtId="10" fontId="0" fillId="0" borderId="0" xfId="2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2" applyFont="1"/>
    <xf numFmtId="10" fontId="0" fillId="0" borderId="0" xfId="0" applyNumberFormat="1"/>
    <xf numFmtId="0" fontId="0" fillId="0" borderId="0" xfId="0" quotePrefix="1"/>
    <xf numFmtId="16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69" fontId="0" fillId="0" borderId="0" xfId="0" quotePrefix="1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/>
    <xf numFmtId="166" fontId="0" fillId="0" borderId="1" xfId="0" applyNumberFormat="1" applyBorder="1"/>
    <xf numFmtId="169" fontId="0" fillId="0" borderId="4" xfId="0" applyNumberFormat="1" applyBorder="1"/>
    <xf numFmtId="169" fontId="0" fillId="0" borderId="5" xfId="0" applyNumberFormat="1" applyBorder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169" fontId="8" fillId="0" borderId="4" xfId="0" applyNumberFormat="1" applyFont="1" applyBorder="1"/>
    <xf numFmtId="169" fontId="8" fillId="0" borderId="0" xfId="0" quotePrefix="1" applyNumberFormat="1" applyFont="1" applyAlignment="1">
      <alignment horizontal="left"/>
    </xf>
    <xf numFmtId="0" fontId="8" fillId="0" borderId="0" xfId="0" quotePrefix="1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0" xfId="13" applyFont="1" applyFill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3" fillId="0" borderId="0" xfId="0" applyFont="1"/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13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73" fontId="18" fillId="0" borderId="0" xfId="0" applyNumberFormat="1" applyFont="1" applyAlignment="1">
      <alignment horizontal="right"/>
    </xf>
    <xf numFmtId="173" fontId="8" fillId="0" borderId="0" xfId="13" applyNumberFormat="1" applyFont="1" applyFill="1" applyBorder="1" applyAlignment="1">
      <alignment horizontal="right"/>
    </xf>
    <xf numFmtId="174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37" fontId="0" fillId="0" borderId="0" xfId="0" applyNumberFormat="1"/>
    <xf numFmtId="174" fontId="0" fillId="0" borderId="0" xfId="0" applyNumberFormat="1"/>
    <xf numFmtId="174" fontId="0" fillId="0" borderId="0" xfId="0" applyNumberFormat="1" applyAlignment="1">
      <alignment horizontal="right"/>
    </xf>
    <xf numFmtId="175" fontId="0" fillId="0" borderId="0" xfId="0" applyNumberFormat="1"/>
    <xf numFmtId="172" fontId="0" fillId="0" borderId="0" xfId="1" applyNumberFormat="1" applyFont="1"/>
    <xf numFmtId="10" fontId="8" fillId="0" borderId="0" xfId="2" quotePrefix="1" applyNumberFormat="1" applyFont="1" applyFill="1" applyAlignment="1">
      <alignment horizontal="right"/>
    </xf>
    <xf numFmtId="172" fontId="8" fillId="0" borderId="0" xfId="1" applyNumberFormat="1" applyFont="1" applyFill="1"/>
    <xf numFmtId="176" fontId="0" fillId="0" borderId="0" xfId="0" applyNumberFormat="1" applyAlignment="1">
      <alignment horizontal="right"/>
    </xf>
    <xf numFmtId="174" fontId="0" fillId="0" borderId="0" xfId="0" quotePrefix="1" applyNumberFormat="1" applyAlignment="1">
      <alignment horizontal="right"/>
    </xf>
    <xf numFmtId="175" fontId="0" fillId="0" borderId="0" xfId="2" quotePrefix="1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37" fontId="2" fillId="0" borderId="25" xfId="0" applyNumberFormat="1" applyFont="1" applyBorder="1"/>
    <xf numFmtId="174" fontId="2" fillId="0" borderId="25" xfId="0" applyNumberFormat="1" applyFont="1" applyBorder="1"/>
    <xf numFmtId="175" fontId="2" fillId="0" borderId="25" xfId="0" applyNumberFormat="1" applyFont="1" applyBorder="1"/>
    <xf numFmtId="174" fontId="2" fillId="0" borderId="25" xfId="0" applyNumberFormat="1" applyFont="1" applyBorder="1" applyAlignment="1">
      <alignment horizontal="right"/>
    </xf>
    <xf numFmtId="177" fontId="2" fillId="0" borderId="25" xfId="0" applyNumberFormat="1" applyFont="1" applyBorder="1"/>
    <xf numFmtId="175" fontId="2" fillId="0" borderId="25" xfId="2" applyNumberFormat="1" applyFont="1" applyBorder="1"/>
    <xf numFmtId="10" fontId="2" fillId="0" borderId="25" xfId="2" applyNumberFormat="1" applyFont="1" applyBorder="1"/>
    <xf numFmtId="174" fontId="2" fillId="4" borderId="3" xfId="0" applyNumberFormat="1" applyFont="1" applyFill="1" applyBorder="1"/>
    <xf numFmtId="0" fontId="19" fillId="0" borderId="0" xfId="0" applyFont="1"/>
    <xf numFmtId="0" fontId="20" fillId="0" borderId="0" xfId="0" applyFont="1"/>
    <xf numFmtId="178" fontId="21" fillId="0" borderId="0" xfId="1" applyNumberFormat="1" applyFont="1" applyFill="1" applyBorder="1"/>
    <xf numFmtId="179" fontId="2" fillId="0" borderId="25" xfId="0" applyNumberFormat="1" applyFont="1" applyBorder="1" applyAlignment="1">
      <alignment horizontal="center" vertical="center" wrapText="1"/>
    </xf>
    <xf numFmtId="177" fontId="2" fillId="4" borderId="3" xfId="0" applyNumberFormat="1" applyFont="1" applyFill="1" applyBorder="1"/>
    <xf numFmtId="0" fontId="1" fillId="0" borderId="0" xfId="14"/>
    <xf numFmtId="0" fontId="1" fillId="5" borderId="0" xfId="14" applyFill="1"/>
    <xf numFmtId="0" fontId="7" fillId="0" borderId="0" xfId="14" applyFont="1"/>
    <xf numFmtId="175" fontId="0" fillId="0" borderId="0" xfId="2" applyNumberFormat="1" applyFont="1"/>
    <xf numFmtId="175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1" applyNumberFormat="1" applyFont="1" applyFill="1"/>
    <xf numFmtId="9" fontId="0" fillId="0" borderId="0" xfId="2" applyFont="1" applyFill="1"/>
    <xf numFmtId="0" fontId="0" fillId="0" borderId="1" xfId="0" applyBorder="1" applyAlignment="1">
      <alignment horizontal="centerContinuous"/>
    </xf>
    <xf numFmtId="170" fontId="0" fillId="0" borderId="0" xfId="0" applyNumberFormat="1" applyAlignment="1">
      <alignment horizontal="center"/>
    </xf>
    <xf numFmtId="170" fontId="8" fillId="0" borderId="0" xfId="0" applyNumberFormat="1" applyFont="1" applyAlignment="1">
      <alignment horizontal="center"/>
    </xf>
    <xf numFmtId="170" fontId="0" fillId="0" borderId="0" xfId="0" applyNumberForma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18" applyFont="1"/>
    <xf numFmtId="0" fontId="0" fillId="0" borderId="0" xfId="18" applyFont="1" applyAlignment="1">
      <alignment horizontal="left"/>
    </xf>
    <xf numFmtId="10" fontId="0" fillId="0" borderId="0" xfId="2" applyNumberFormat="1" applyFont="1" applyFill="1" applyBorder="1" applyAlignment="1">
      <alignment horizontal="center"/>
    </xf>
    <xf numFmtId="0" fontId="0" fillId="0" borderId="0" xfId="18" applyFont="1" applyAlignment="1">
      <alignment horizontal="center"/>
    </xf>
    <xf numFmtId="0" fontId="0" fillId="0" borderId="0" xfId="0" applyAlignment="1">
      <alignment horizontal="centerContinuous" wrapText="1"/>
    </xf>
    <xf numFmtId="0" fontId="0" fillId="0" borderId="0" xfId="18" applyFont="1" applyAlignment="1">
      <alignment horizontal="centerContinuous" wrapText="1"/>
    </xf>
    <xf numFmtId="175" fontId="0" fillId="0" borderId="0" xfId="1" applyNumberFormat="1" applyFont="1" applyFill="1" applyBorder="1"/>
    <xf numFmtId="175" fontId="0" fillId="0" borderId="0" xfId="18" applyNumberFormat="1" applyFont="1"/>
    <xf numFmtId="0" fontId="0" fillId="0" borderId="0" xfId="18" applyFont="1" applyAlignment="1">
      <alignment horizontal="right"/>
    </xf>
    <xf numFmtId="178" fontId="0" fillId="0" borderId="0" xfId="18" applyNumberFormat="1" applyFont="1"/>
    <xf numFmtId="0" fontId="0" fillId="0" borderId="1" xfId="18" applyFont="1" applyBorder="1" applyAlignment="1">
      <alignment horizontal="right"/>
    </xf>
    <xf numFmtId="181" fontId="0" fillId="0" borderId="0" xfId="18" applyNumberFormat="1" applyFont="1"/>
    <xf numFmtId="0" fontId="0" fillId="0" borderId="1" xfId="0" applyBorder="1" applyAlignment="1">
      <alignment horizontal="center"/>
    </xf>
    <xf numFmtId="0" fontId="0" fillId="0" borderId="0" xfId="17" applyFont="1" applyFill="1" applyBorder="1"/>
    <xf numFmtId="0" fontId="0" fillId="0" borderId="0" xfId="17" applyFont="1" applyFill="1"/>
    <xf numFmtId="0" fontId="0" fillId="0" borderId="0" xfId="17" quotePrefix="1" applyFont="1" applyFill="1" applyAlignment="1"/>
    <xf numFmtId="0" fontId="0" fillId="0" borderId="0" xfId="17" quotePrefix="1" applyFont="1" applyFill="1"/>
    <xf numFmtId="9" fontId="0" fillId="0" borderId="0" xfId="17" applyNumberFormat="1" applyFont="1" applyFill="1" applyBorder="1"/>
    <xf numFmtId="168" fontId="0" fillId="0" borderId="0" xfId="17" applyNumberFormat="1" applyFont="1" applyFill="1" applyBorder="1"/>
    <xf numFmtId="0" fontId="2" fillId="0" borderId="0" xfId="0" applyFont="1" applyAlignment="1">
      <alignment horizontal="right"/>
    </xf>
    <xf numFmtId="0" fontId="26" fillId="0" borderId="0" xfId="0" applyFont="1"/>
    <xf numFmtId="37" fontId="28" fillId="0" borderId="0" xfId="6" applyNumberFormat="1" applyFont="1"/>
    <xf numFmtId="49" fontId="8" fillId="0" borderId="0" xfId="6" applyNumberFormat="1" applyFont="1"/>
    <xf numFmtId="0" fontId="8" fillId="0" borderId="0" xfId="6" applyFont="1"/>
    <xf numFmtId="37" fontId="14" fillId="0" borderId="0" xfId="4" applyFont="1"/>
    <xf numFmtId="37" fontId="8" fillId="0" borderId="0" xfId="6" quotePrefix="1" applyNumberFormat="1" applyFont="1"/>
    <xf numFmtId="49" fontId="8" fillId="0" borderId="0" xfId="6" quotePrefix="1" applyNumberFormat="1" applyFont="1"/>
    <xf numFmtId="0" fontId="8" fillId="0" borderId="0" xfId="6" quotePrefix="1" applyFont="1"/>
    <xf numFmtId="1" fontId="30" fillId="0" borderId="0" xfId="6" applyNumberFormat="1" applyFont="1" applyAlignment="1">
      <alignment horizontal="center"/>
    </xf>
    <xf numFmtId="0" fontId="8" fillId="0" borderId="0" xfId="7" applyFont="1"/>
    <xf numFmtId="49" fontId="8" fillId="0" borderId="0" xfId="7" applyNumberFormat="1" applyFont="1"/>
    <xf numFmtId="0" fontId="8" fillId="0" borderId="0" xfId="7" applyFont="1" applyAlignment="1">
      <alignment horizontal="center" vertical="center"/>
    </xf>
    <xf numFmtId="49" fontId="9" fillId="0" borderId="0" xfId="5" applyNumberFormat="1" applyFont="1"/>
    <xf numFmtId="49" fontId="9" fillId="0" borderId="0" xfId="5" applyNumberFormat="1" applyFont="1" applyAlignment="1">
      <alignment horizontal="center"/>
    </xf>
    <xf numFmtId="171" fontId="14" fillId="0" borderId="0" xfId="4" applyNumberFormat="1" applyFont="1" applyAlignment="1">
      <alignment horizontal="centerContinuous"/>
    </xf>
    <xf numFmtId="0" fontId="8" fillId="0" borderId="8" xfId="8" applyFont="1" applyBorder="1"/>
    <xf numFmtId="49" fontId="8" fillId="0" borderId="0" xfId="8" applyNumberFormat="1" applyFont="1"/>
    <xf numFmtId="0" fontId="9" fillId="0" borderId="39" xfId="8" applyFont="1" applyBorder="1"/>
    <xf numFmtId="0" fontId="8" fillId="0" borderId="9" xfId="8" applyFont="1" applyBorder="1"/>
    <xf numFmtId="37" fontId="9" fillId="0" borderId="17" xfId="8" applyNumberFormat="1" applyFont="1" applyBorder="1" applyAlignment="1">
      <alignment horizontal="center"/>
    </xf>
    <xf numFmtId="49" fontId="9" fillId="0" borderId="17" xfId="8" applyNumberFormat="1" applyFont="1" applyBorder="1" applyAlignment="1">
      <alignment horizontal="center"/>
    </xf>
    <xf numFmtId="49" fontId="9" fillId="0" borderId="4" xfId="8" applyNumberFormat="1" applyFont="1" applyBorder="1" applyAlignment="1">
      <alignment horizontal="center"/>
    </xf>
    <xf numFmtId="49" fontId="9" fillId="0" borderId="0" xfId="8" quotePrefix="1" applyNumberFormat="1" applyFont="1" applyAlignment="1">
      <alignment horizontal="center"/>
    </xf>
    <xf numFmtId="49" fontId="9" fillId="0" borderId="28" xfId="8" quotePrefix="1" applyNumberFormat="1" applyFont="1" applyBorder="1" applyAlignment="1">
      <alignment horizontal="center"/>
    </xf>
    <xf numFmtId="0" fontId="8" fillId="0" borderId="10" xfId="8" quotePrefix="1" applyFont="1" applyBorder="1" applyAlignment="1">
      <alignment horizontal="center"/>
    </xf>
    <xf numFmtId="49" fontId="8" fillId="0" borderId="1" xfId="8" applyNumberFormat="1" applyFont="1" applyBorder="1"/>
    <xf numFmtId="49" fontId="8" fillId="0" borderId="18" xfId="8" quotePrefix="1" applyNumberFormat="1" applyFont="1" applyBorder="1" applyAlignment="1">
      <alignment horizontal="center"/>
    </xf>
    <xf numFmtId="49" fontId="8" fillId="0" borderId="34" xfId="8" quotePrefix="1" applyNumberFormat="1" applyFont="1" applyBorder="1" applyAlignment="1">
      <alignment horizontal="center"/>
    </xf>
    <xf numFmtId="49" fontId="8" fillId="0" borderId="1" xfId="8" quotePrefix="1" applyNumberFormat="1" applyFont="1" applyBorder="1" applyAlignment="1">
      <alignment horizontal="center"/>
    </xf>
    <xf numFmtId="49" fontId="8" fillId="0" borderId="29" xfId="8" quotePrefix="1" applyNumberFormat="1" applyFont="1" applyBorder="1" applyAlignment="1">
      <alignment horizontal="center"/>
    </xf>
    <xf numFmtId="37" fontId="9" fillId="0" borderId="9" xfId="8" applyNumberFormat="1" applyFont="1" applyBorder="1"/>
    <xf numFmtId="49" fontId="9" fillId="0" borderId="0" xfId="8" applyNumberFormat="1" applyFont="1"/>
    <xf numFmtId="172" fontId="1" fillId="0" borderId="17" xfId="11" applyNumberFormat="1" applyFont="1" applyFill="1" applyBorder="1"/>
    <xf numFmtId="43" fontId="1" fillId="0" borderId="4" xfId="11" applyFont="1" applyFill="1" applyBorder="1" applyAlignment="1">
      <alignment horizontal="center"/>
    </xf>
    <xf numFmtId="172" fontId="1" fillId="0" borderId="0" xfId="11" applyNumberFormat="1" applyFont="1" applyFill="1" applyBorder="1"/>
    <xf numFmtId="172" fontId="8" fillId="0" borderId="28" xfId="11" applyNumberFormat="1" applyFont="1" applyFill="1" applyBorder="1"/>
    <xf numFmtId="0" fontId="31" fillId="0" borderId="0" xfId="7" applyFont="1"/>
    <xf numFmtId="37" fontId="8" fillId="0" borderId="11" xfId="8" applyNumberFormat="1" applyFont="1" applyBorder="1"/>
    <xf numFmtId="49" fontId="8" fillId="0" borderId="14" xfId="8" applyNumberFormat="1" applyFont="1" applyBorder="1" applyAlignment="1">
      <alignment horizontal="center"/>
    </xf>
    <xf numFmtId="37" fontId="31" fillId="0" borderId="18" xfId="11" applyNumberFormat="1" applyFont="1" applyFill="1" applyBorder="1" applyProtection="1">
      <protection locked="0"/>
    </xf>
    <xf numFmtId="4" fontId="31" fillId="0" borderId="34" xfId="11" applyNumberFormat="1" applyFont="1" applyFill="1" applyBorder="1" applyAlignment="1" applyProtection="1">
      <alignment horizontal="center"/>
      <protection locked="0"/>
    </xf>
    <xf numFmtId="37" fontId="1" fillId="0" borderId="34" xfId="11" applyNumberFormat="1" applyFont="1" applyFill="1" applyBorder="1"/>
    <xf numFmtId="37" fontId="8" fillId="0" borderId="29" xfId="11" applyNumberFormat="1" applyFont="1" applyFill="1" applyBorder="1"/>
    <xf numFmtId="49" fontId="8" fillId="0" borderId="15" xfId="8" applyNumberFormat="1" applyFont="1" applyBorder="1" applyAlignment="1">
      <alignment horizontal="center"/>
    </xf>
    <xf numFmtId="37" fontId="14" fillId="0" borderId="3" xfId="3" applyNumberFormat="1" applyFont="1" applyFill="1" applyBorder="1" applyProtection="1">
      <protection locked="0"/>
    </xf>
    <xf numFmtId="37" fontId="14" fillId="0" borderId="30" xfId="3" applyNumberFormat="1" applyFont="1" applyFill="1" applyBorder="1" applyProtection="1">
      <protection locked="0"/>
    </xf>
    <xf numFmtId="37" fontId="31" fillId="0" borderId="19" xfId="11" applyNumberFormat="1" applyFont="1" applyFill="1" applyBorder="1" applyProtection="1">
      <protection locked="0"/>
    </xf>
    <xf numFmtId="0" fontId="31" fillId="0" borderId="11" xfId="8" applyFont="1" applyBorder="1" applyProtection="1">
      <protection locked="0"/>
    </xf>
    <xf numFmtId="49" fontId="8" fillId="0" borderId="16" xfId="8" applyNumberFormat="1" applyFont="1" applyBorder="1" applyAlignment="1">
      <alignment horizontal="center"/>
    </xf>
    <xf numFmtId="37" fontId="9" fillId="0" borderId="7" xfId="8" applyNumberFormat="1" applyFont="1" applyBorder="1" applyAlignment="1">
      <alignment horizontal="left"/>
    </xf>
    <xf numFmtId="49" fontId="9" fillId="0" borderId="13" xfId="8" applyNumberFormat="1" applyFont="1" applyBorder="1" applyAlignment="1">
      <alignment horizontal="center"/>
    </xf>
    <xf numFmtId="37" fontId="1" fillId="0" borderId="24" xfId="11" applyNumberFormat="1" applyFont="1" applyFill="1" applyBorder="1"/>
    <xf numFmtId="37" fontId="1" fillId="0" borderId="31" xfId="11" applyNumberFormat="1" applyFont="1" applyFill="1" applyBorder="1"/>
    <xf numFmtId="49" fontId="29" fillId="0" borderId="0" xfId="8" applyNumberFormat="1" applyFont="1" applyAlignment="1">
      <alignment horizontal="center"/>
    </xf>
    <xf numFmtId="37" fontId="14" fillId="0" borderId="41" xfId="3" applyNumberFormat="1" applyFont="1" applyFill="1" applyBorder="1" applyProtection="1">
      <protection locked="0"/>
    </xf>
    <xf numFmtId="37" fontId="14" fillId="0" borderId="42" xfId="3" applyNumberFormat="1" applyFont="1" applyFill="1" applyBorder="1" applyProtection="1">
      <protection locked="0"/>
    </xf>
    <xf numFmtId="37" fontId="14" fillId="0" borderId="2" xfId="3" applyNumberFormat="1" applyFont="1" applyFill="1" applyBorder="1" applyProtection="1">
      <protection locked="0"/>
    </xf>
    <xf numFmtId="37" fontId="14" fillId="0" borderId="44" xfId="3" applyNumberFormat="1" applyFont="1" applyFill="1" applyBorder="1" applyProtection="1">
      <protection locked="0"/>
    </xf>
    <xf numFmtId="172" fontId="1" fillId="2" borderId="24" xfId="11" applyNumberFormat="1" applyFont="1" applyFill="1" applyBorder="1"/>
    <xf numFmtId="0" fontId="9" fillId="0" borderId="9" xfId="8" applyFont="1" applyBorder="1"/>
    <xf numFmtId="49" fontId="29" fillId="0" borderId="0" xfId="8" applyNumberFormat="1" applyFont="1"/>
    <xf numFmtId="172" fontId="2" fillId="0" borderId="20" xfId="11" applyNumberFormat="1" applyFont="1" applyFill="1" applyBorder="1" applyAlignment="1">
      <alignment horizontal="center" vertical="top"/>
    </xf>
    <xf numFmtId="172" fontId="2" fillId="2" borderId="33" xfId="11" applyNumberFormat="1" applyFont="1" applyFill="1" applyBorder="1" applyAlignment="1">
      <alignment horizontal="center"/>
    </xf>
    <xf numFmtId="172" fontId="2" fillId="0" borderId="33" xfId="11" applyNumberFormat="1" applyFont="1" applyFill="1" applyBorder="1" applyAlignment="1">
      <alignment horizontal="center" vertical="top" wrapText="1"/>
    </xf>
    <xf numFmtId="172" fontId="2" fillId="0" borderId="32" xfId="11" applyNumberFormat="1" applyFont="1" applyFill="1" applyBorder="1" applyAlignment="1">
      <alignment horizontal="center" vertical="top" wrapText="1"/>
    </xf>
    <xf numFmtId="172" fontId="1" fillId="0" borderId="18" xfId="11" quotePrefix="1" applyNumberFormat="1" applyFont="1" applyFill="1" applyBorder="1" applyAlignment="1">
      <alignment horizontal="center"/>
    </xf>
    <xf numFmtId="172" fontId="1" fillId="2" borderId="34" xfId="11" applyNumberFormat="1" applyFont="1" applyFill="1" applyBorder="1" applyAlignment="1">
      <alignment horizontal="center"/>
    </xf>
    <xf numFmtId="172" fontId="1" fillId="0" borderId="1" xfId="11" quotePrefix="1" applyNumberFormat="1" applyFont="1" applyFill="1" applyBorder="1" applyAlignment="1">
      <alignment horizontal="center"/>
    </xf>
    <xf numFmtId="172" fontId="1" fillId="0" borderId="29" xfId="11" quotePrefix="1" applyNumberFormat="1" applyFont="1" applyFill="1" applyBorder="1" applyAlignment="1">
      <alignment horizontal="center"/>
    </xf>
    <xf numFmtId="37" fontId="31" fillId="2" borderId="3" xfId="11" applyNumberFormat="1" applyFont="1" applyFill="1" applyBorder="1"/>
    <xf numFmtId="37" fontId="31" fillId="0" borderId="25" xfId="11" applyNumberFormat="1" applyFont="1" applyFill="1" applyBorder="1" applyProtection="1">
      <protection locked="0"/>
    </xf>
    <xf numFmtId="37" fontId="31" fillId="0" borderId="30" xfId="11" applyNumberFormat="1" applyFont="1" applyFill="1" applyBorder="1" applyProtection="1">
      <protection locked="0"/>
    </xf>
    <xf numFmtId="37" fontId="31" fillId="0" borderId="17" xfId="11" applyNumberFormat="1" applyFont="1" applyFill="1" applyBorder="1" applyProtection="1">
      <protection locked="0"/>
    </xf>
    <xf numFmtId="37" fontId="31" fillId="2" borderId="4" xfId="11" applyNumberFormat="1" applyFont="1" applyFill="1" applyBorder="1"/>
    <xf numFmtId="37" fontId="31" fillId="0" borderId="0" xfId="11" applyNumberFormat="1" applyFont="1" applyFill="1" applyBorder="1" applyProtection="1">
      <protection locked="0"/>
    </xf>
    <xf numFmtId="37" fontId="8" fillId="2" borderId="21" xfId="11" applyNumberFormat="1" applyFont="1" applyFill="1" applyBorder="1"/>
    <xf numFmtId="37" fontId="8" fillId="2" borderId="24" xfId="11" applyNumberFormat="1" applyFont="1" applyFill="1" applyBorder="1" applyAlignment="1">
      <alignment horizontal="center"/>
    </xf>
    <xf numFmtId="37" fontId="8" fillId="0" borderId="12" xfId="8" applyNumberFormat="1" applyFont="1" applyBorder="1"/>
    <xf numFmtId="172" fontId="8" fillId="2" borderId="19" xfId="11" applyNumberFormat="1" applyFont="1" applyFill="1" applyBorder="1"/>
    <xf numFmtId="172" fontId="8" fillId="2" borderId="3" xfId="11" applyNumberFormat="1" applyFont="1" applyFill="1" applyBorder="1" applyAlignment="1">
      <alignment horizontal="center"/>
    </xf>
    <xf numFmtId="37" fontId="8" fillId="0" borderId="3" xfId="11" applyNumberFormat="1" applyFont="1" applyFill="1" applyBorder="1"/>
    <xf numFmtId="37" fontId="8" fillId="2" borderId="30" xfId="11" applyNumberFormat="1" applyFont="1" applyFill="1" applyBorder="1"/>
    <xf numFmtId="172" fontId="8" fillId="2" borderId="20" xfId="11" applyNumberFormat="1" applyFont="1" applyFill="1" applyBorder="1"/>
    <xf numFmtId="172" fontId="8" fillId="2" borderId="33" xfId="11" applyNumberFormat="1" applyFont="1" applyFill="1" applyBorder="1" applyAlignment="1">
      <alignment horizontal="center"/>
    </xf>
    <xf numFmtId="37" fontId="8" fillId="2" borderId="33" xfId="11" applyNumberFormat="1" applyFont="1" applyFill="1" applyBorder="1"/>
    <xf numFmtId="37" fontId="8" fillId="0" borderId="32" xfId="11" applyNumberFormat="1" applyFont="1" applyFill="1" applyBorder="1"/>
    <xf numFmtId="37" fontId="9" fillId="0" borderId="7" xfId="8" applyNumberFormat="1" applyFont="1" applyBorder="1"/>
    <xf numFmtId="172" fontId="8" fillId="2" borderId="21" xfId="11" applyNumberFormat="1" applyFont="1" applyFill="1" applyBorder="1"/>
    <xf numFmtId="172" fontId="8" fillId="2" borderId="24" xfId="11" applyNumberFormat="1" applyFont="1" applyFill="1" applyBorder="1" applyAlignment="1">
      <alignment horizontal="center"/>
    </xf>
    <xf numFmtId="37" fontId="8" fillId="2" borderId="24" xfId="11" applyNumberFormat="1" applyFont="1" applyFill="1" applyBorder="1"/>
    <xf numFmtId="37" fontId="8" fillId="0" borderId="31" xfId="11" applyNumberFormat="1" applyFont="1" applyFill="1" applyBorder="1" applyAlignment="1"/>
    <xf numFmtId="37" fontId="8" fillId="0" borderId="0" xfId="8" applyNumberFormat="1" applyFont="1"/>
    <xf numFmtId="0" fontId="8" fillId="0" borderId="0" xfId="7" quotePrefix="1" applyFont="1" applyAlignment="1">
      <alignment horizontal="right"/>
    </xf>
    <xf numFmtId="0" fontId="24" fillId="0" borderId="0" xfId="14" applyFont="1" applyAlignment="1">
      <alignment horizontal="center"/>
    </xf>
    <xf numFmtId="0" fontId="24" fillId="0" borderId="0" xfId="14" applyFont="1"/>
    <xf numFmtId="180" fontId="24" fillId="0" borderId="0" xfId="14" applyNumberFormat="1" applyFont="1" applyAlignment="1">
      <alignment horizontal="center"/>
    </xf>
    <xf numFmtId="0" fontId="24" fillId="0" borderId="0" xfId="14" applyFont="1" applyAlignment="1">
      <alignment horizontal="left"/>
    </xf>
    <xf numFmtId="0" fontId="24" fillId="0" borderId="0" xfId="14" applyFont="1" applyAlignment="1">
      <alignment horizontal="right"/>
    </xf>
    <xf numFmtId="10" fontId="24" fillId="0" borderId="0" xfId="15" applyNumberFormat="1" applyFont="1"/>
    <xf numFmtId="10" fontId="24" fillId="0" borderId="0" xfId="14" applyNumberFormat="1" applyFont="1" applyAlignment="1">
      <alignment horizontal="center"/>
    </xf>
    <xf numFmtId="181" fontId="24" fillId="0" borderId="0" xfId="16" applyNumberFormat="1" applyFont="1"/>
    <xf numFmtId="0" fontId="32" fillId="0" borderId="0" xfId="14" applyFont="1"/>
    <xf numFmtId="0" fontId="32" fillId="0" borderId="35" xfId="14" applyFont="1" applyBorder="1" applyAlignment="1">
      <alignment horizontal="centerContinuous"/>
    </xf>
    <xf numFmtId="0" fontId="32" fillId="0" borderId="25" xfId="14" applyFont="1" applyBorder="1" applyAlignment="1">
      <alignment horizontal="centerContinuous"/>
    </xf>
    <xf numFmtId="0" fontId="32" fillId="0" borderId="36" xfId="14" applyFont="1" applyBorder="1" applyAlignment="1">
      <alignment horizontal="centerContinuous"/>
    </xf>
    <xf numFmtId="0" fontId="32" fillId="0" borderId="0" xfId="14" applyFont="1" applyAlignment="1">
      <alignment horizontal="centerContinuous"/>
    </xf>
    <xf numFmtId="0" fontId="32" fillId="0" borderId="0" xfId="14" applyFont="1" applyAlignment="1">
      <alignment horizontal="center"/>
    </xf>
    <xf numFmtId="0" fontId="32" fillId="0" borderId="0" xfId="14" quotePrefix="1" applyFont="1" applyAlignment="1">
      <alignment horizontal="center"/>
    </xf>
    <xf numFmtId="0" fontId="34" fillId="0" borderId="0" xfId="14" quotePrefix="1" applyFont="1" applyAlignment="1">
      <alignment horizontal="center"/>
    </xf>
    <xf numFmtId="0" fontId="36" fillId="0" borderId="0" xfId="14" applyFont="1"/>
    <xf numFmtId="0" fontId="37" fillId="0" borderId="0" xfId="14" quotePrefix="1" applyFont="1" applyAlignment="1">
      <alignment horizontal="center"/>
    </xf>
    <xf numFmtId="0" fontId="37" fillId="0" borderId="0" xfId="14" applyFont="1" applyAlignment="1">
      <alignment horizontal="center"/>
    </xf>
    <xf numFmtId="0" fontId="38" fillId="0" borderId="0" xfId="14" applyFont="1" applyAlignment="1">
      <alignment horizontal="center"/>
    </xf>
    <xf numFmtId="0" fontId="37" fillId="0" borderId="0" xfId="14" applyFont="1"/>
    <xf numFmtId="37" fontId="24" fillId="0" borderId="0" xfId="14" applyNumberFormat="1" applyFont="1" applyAlignment="1">
      <alignment horizontal="right" indent="1"/>
    </xf>
    <xf numFmtId="166" fontId="35" fillId="0" borderId="0" xfId="1" quotePrefix="1" applyNumberFormat="1" applyFont="1" applyAlignment="1">
      <alignment horizontal="center"/>
    </xf>
    <xf numFmtId="0" fontId="32" fillId="0" borderId="0" xfId="14" applyFont="1" applyAlignment="1">
      <alignment horizontal="right" indent="1"/>
    </xf>
    <xf numFmtId="37" fontId="35" fillId="0" borderId="0" xfId="14" applyNumberFormat="1" applyFont="1" applyAlignment="1">
      <alignment horizontal="right" indent="1"/>
    </xf>
    <xf numFmtId="0" fontId="24" fillId="0" borderId="0" xfId="14" applyFont="1" applyAlignment="1">
      <alignment horizontal="right" indent="1"/>
    </xf>
    <xf numFmtId="3" fontId="24" fillId="0" borderId="0" xfId="14" applyNumberFormat="1" applyFont="1" applyAlignment="1">
      <alignment horizontal="right" indent="1"/>
    </xf>
    <xf numFmtId="38" fontId="24" fillId="0" borderId="0" xfId="14" applyNumberFormat="1" applyFont="1" applyAlignment="1">
      <alignment horizontal="right" indent="1"/>
    </xf>
    <xf numFmtId="3" fontId="35" fillId="0" borderId="0" xfId="14" applyNumberFormat="1" applyFont="1" applyAlignment="1">
      <alignment horizontal="right" indent="1"/>
    </xf>
    <xf numFmtId="0" fontId="35" fillId="0" borderId="0" xfId="14" applyFont="1" applyAlignment="1">
      <alignment horizontal="right" indent="1"/>
    </xf>
    <xf numFmtId="37" fontId="29" fillId="0" borderId="0" xfId="5" applyNumberFormat="1" applyFont="1"/>
    <xf numFmtId="0" fontId="29" fillId="0" borderId="0" xfId="5" applyFont="1"/>
    <xf numFmtId="0" fontId="1" fillId="0" borderId="0" xfId="14" quotePrefix="1"/>
    <xf numFmtId="0" fontId="35" fillId="0" borderId="0" xfId="14" applyFont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169" fontId="8" fillId="0" borderId="6" xfId="0" applyNumberFormat="1" applyFont="1" applyBorder="1"/>
    <xf numFmtId="169" fontId="0" fillId="0" borderId="6" xfId="0" applyNumberFormat="1" applyBorder="1"/>
    <xf numFmtId="169" fontId="0" fillId="0" borderId="34" xfId="0" applyNumberFormat="1" applyBorder="1"/>
    <xf numFmtId="0" fontId="8" fillId="0" borderId="6" xfId="0" applyFont="1" applyBorder="1"/>
    <xf numFmtId="0" fontId="8" fillId="0" borderId="34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 wrapText="1"/>
    </xf>
    <xf numFmtId="10" fontId="0" fillId="0" borderId="0" xfId="18" applyNumberFormat="1" applyFont="1"/>
    <xf numFmtId="168" fontId="0" fillId="0" borderId="0" xfId="0" applyNumberFormat="1"/>
    <xf numFmtId="168" fontId="0" fillId="0" borderId="1" xfId="0" applyNumberFormat="1" applyBorder="1"/>
    <xf numFmtId="184" fontId="0" fillId="0" borderId="0" xfId="18" applyNumberFormat="1" applyFont="1"/>
    <xf numFmtId="184" fontId="0" fillId="0" borderId="1" xfId="18" applyNumberFormat="1" applyFont="1" applyBorder="1"/>
    <xf numFmtId="185" fontId="0" fillId="0" borderId="6" xfId="0" applyNumberFormat="1" applyBorder="1"/>
    <xf numFmtId="185" fontId="0" fillId="0" borderId="4" xfId="0" applyNumberFormat="1" applyBorder="1"/>
    <xf numFmtId="185" fontId="0" fillId="0" borderId="34" xfId="0" applyNumberFormat="1" applyBorder="1"/>
    <xf numFmtId="185" fontId="0" fillId="0" borderId="5" xfId="0" applyNumberFormat="1" applyBorder="1"/>
    <xf numFmtId="185" fontId="0" fillId="0" borderId="0" xfId="0" applyNumberFormat="1"/>
    <xf numFmtId="185" fontId="2" fillId="0" borderId="0" xfId="0" applyNumberFormat="1" applyFont="1"/>
    <xf numFmtId="185" fontId="0" fillId="0" borderId="0" xfId="0" applyNumberFormat="1" applyAlignment="1">
      <alignment horizontal="center"/>
    </xf>
    <xf numFmtId="181" fontId="0" fillId="0" borderId="0" xfId="0" applyNumberFormat="1"/>
    <xf numFmtId="175" fontId="0" fillId="0" borderId="0" xfId="18" quotePrefix="1" applyNumberFormat="1" applyFont="1" applyAlignment="1">
      <alignment horizontal="right"/>
    </xf>
    <xf numFmtId="175" fontId="0" fillId="0" borderId="0" xfId="18" applyNumberFormat="1" applyFont="1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17" quotePrefix="1" applyFont="1" applyFill="1" applyBorder="1"/>
    <xf numFmtId="0" fontId="2" fillId="0" borderId="45" xfId="0" applyFont="1" applyBorder="1" applyAlignment="1">
      <alignment horizontal="right" wrapText="1"/>
    </xf>
    <xf numFmtId="0" fontId="2" fillId="0" borderId="46" xfId="0" applyFont="1" applyBorder="1" applyAlignment="1">
      <alignment horizontal="right" wrapText="1"/>
    </xf>
    <xf numFmtId="174" fontId="2" fillId="0" borderId="37" xfId="18" quotePrefix="1" applyNumberFormat="1" applyFont="1" applyBorder="1" applyAlignment="1">
      <alignment horizontal="right"/>
    </xf>
    <xf numFmtId="174" fontId="2" fillId="0" borderId="1" xfId="18" quotePrefix="1" applyNumberFormat="1" applyFont="1" applyBorder="1" applyAlignment="1">
      <alignment horizontal="right"/>
    </xf>
    <xf numFmtId="174" fontId="2" fillId="0" borderId="38" xfId="18" quotePrefix="1" applyNumberFormat="1" applyFont="1" applyBorder="1" applyAlignment="1">
      <alignment horizontal="right"/>
    </xf>
    <xf numFmtId="166" fontId="2" fillId="4" borderId="35" xfId="1" applyNumberFormat="1" applyFont="1" applyFill="1" applyBorder="1" applyAlignment="1"/>
    <xf numFmtId="186" fontId="0" fillId="4" borderId="3" xfId="0" applyNumberFormat="1" applyFill="1" applyBorder="1"/>
    <xf numFmtId="168" fontId="0" fillId="0" borderId="0" xfId="1" applyNumberFormat="1" applyFont="1" applyFill="1" applyBorder="1"/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8" fontId="0" fillId="0" borderId="0" xfId="1" applyNumberFormat="1" applyFont="1" applyFill="1" applyAlignment="1"/>
    <xf numFmtId="168" fontId="0" fillId="0" borderId="0" xfId="1" applyNumberFormat="1" applyFont="1" applyFill="1"/>
    <xf numFmtId="168" fontId="0" fillId="0" borderId="0" xfId="1" applyNumberFormat="1" applyFont="1" applyFill="1" applyBorder="1" applyAlignment="1"/>
    <xf numFmtId="168" fontId="2" fillId="4" borderId="25" xfId="1" applyNumberFormat="1" applyFont="1" applyFill="1" applyBorder="1" applyAlignment="1"/>
    <xf numFmtId="168" fontId="2" fillId="4" borderId="36" xfId="1" applyNumberFormat="1" applyFont="1" applyFill="1" applyBorder="1" applyAlignment="1"/>
    <xf numFmtId="168" fontId="2" fillId="4" borderId="25" xfId="0" applyNumberFormat="1" applyFont="1" applyFill="1" applyBorder="1"/>
    <xf numFmtId="168" fontId="2" fillId="4" borderId="36" xfId="0" applyNumberFormat="1" applyFont="1" applyFill="1" applyBorder="1"/>
    <xf numFmtId="187" fontId="14" fillId="0" borderId="3" xfId="5" applyNumberFormat="1" applyFont="1" applyBorder="1" applyProtection="1">
      <protection locked="0"/>
    </xf>
    <xf numFmtId="187" fontId="31" fillId="0" borderId="3" xfId="11" applyNumberFormat="1" applyFont="1" applyFill="1" applyBorder="1" applyAlignment="1" applyProtection="1">
      <alignment horizontal="center"/>
      <protection locked="0"/>
    </xf>
    <xf numFmtId="187" fontId="1" fillId="2" borderId="23" xfId="11" applyNumberFormat="1" applyFont="1" applyFill="1" applyBorder="1"/>
    <xf numFmtId="187" fontId="1" fillId="0" borderId="4" xfId="11" applyNumberFormat="1" applyFont="1" applyFill="1" applyBorder="1" applyAlignment="1">
      <alignment horizontal="center"/>
    </xf>
    <xf numFmtId="187" fontId="14" fillId="0" borderId="41" xfId="5" applyNumberFormat="1" applyFont="1" applyBorder="1" applyProtection="1">
      <protection locked="0"/>
    </xf>
    <xf numFmtId="187" fontId="14" fillId="0" borderId="2" xfId="5" applyNumberFormat="1" applyFont="1" applyBorder="1" applyProtection="1">
      <protection locked="0"/>
    </xf>
    <xf numFmtId="187" fontId="31" fillId="0" borderId="33" xfId="11" applyNumberFormat="1" applyFont="1" applyFill="1" applyBorder="1" applyAlignment="1" applyProtection="1">
      <alignment horizontal="center"/>
      <protection locked="0"/>
    </xf>
    <xf numFmtId="168" fontId="0" fillId="0" borderId="4" xfId="1" applyNumberFormat="1" applyFont="1" applyBorder="1"/>
    <xf numFmtId="168" fontId="0" fillId="0" borderId="6" xfId="1" applyNumberFormat="1" applyFont="1" applyBorder="1"/>
    <xf numFmtId="168" fontId="0" fillId="4" borderId="3" xfId="1" applyNumberFormat="1" applyFont="1" applyFill="1" applyBorder="1" applyAlignment="1"/>
    <xf numFmtId="10" fontId="39" fillId="0" borderId="0" xfId="0" applyNumberFormat="1" applyFont="1"/>
    <xf numFmtId="10" fontId="2" fillId="0" borderId="0" xfId="0" applyNumberFormat="1" applyFont="1"/>
    <xf numFmtId="166" fontId="0" fillId="0" borderId="0" xfId="1" applyNumberFormat="1" applyFont="1" applyAlignment="1">
      <alignment horizontal="right"/>
    </xf>
    <xf numFmtId="0" fontId="2" fillId="0" borderId="47" xfId="0" applyFont="1" applyBorder="1" applyAlignment="1">
      <alignment horizontal="right" wrapText="1"/>
    </xf>
    <xf numFmtId="0" fontId="0" fillId="0" borderId="4" xfId="18" quotePrefix="1" applyFont="1" applyBorder="1" applyAlignment="1">
      <alignment horizontal="center"/>
    </xf>
    <xf numFmtId="0" fontId="0" fillId="0" borderId="34" xfId="18" applyFont="1" applyBorder="1" applyAlignment="1">
      <alignment horizontal="center"/>
    </xf>
    <xf numFmtId="175" fontId="0" fillId="0" borderId="4" xfId="1" applyNumberFormat="1" applyFont="1" applyFill="1" applyBorder="1"/>
    <xf numFmtId="175" fontId="0" fillId="0" borderId="34" xfId="1" applyNumberFormat="1" applyFont="1" applyFill="1" applyBorder="1"/>
    <xf numFmtId="169" fontId="0" fillId="0" borderId="4" xfId="0" applyNumberFormat="1" applyBorder="1" applyAlignment="1">
      <alignment horizontal="right"/>
    </xf>
    <xf numFmtId="169" fontId="0" fillId="0" borderId="34" xfId="0" applyNumberFormat="1" applyBorder="1" applyAlignment="1">
      <alignment horizontal="right"/>
    </xf>
    <xf numFmtId="10" fontId="0" fillId="0" borderId="4" xfId="1" applyNumberFormat="1" applyFont="1" applyFill="1" applyBorder="1"/>
    <xf numFmtId="10" fontId="0" fillId="0" borderId="34" xfId="1" applyNumberFormat="1" applyFont="1" applyFill="1" applyBorder="1"/>
    <xf numFmtId="10" fontId="0" fillId="0" borderId="36" xfId="18" applyNumberFormat="1" applyFont="1" applyBorder="1"/>
    <xf numFmtId="0" fontId="0" fillId="0" borderId="35" xfId="18" applyFont="1" applyBorder="1" applyAlignment="1">
      <alignment horizontal="center"/>
    </xf>
    <xf numFmtId="0" fontId="0" fillId="0" borderId="25" xfId="18" applyFont="1" applyBorder="1" applyAlignment="1">
      <alignment horizontal="center"/>
    </xf>
    <xf numFmtId="10" fontId="0" fillId="0" borderId="3" xfId="18" applyNumberFormat="1" applyFont="1" applyBorder="1"/>
    <xf numFmtId="0" fontId="0" fillId="0" borderId="33" xfId="18" quotePrefix="1" applyFont="1" applyBorder="1" applyAlignment="1">
      <alignment horizontal="center"/>
    </xf>
    <xf numFmtId="175" fontId="0" fillId="0" borderId="33" xfId="1" applyNumberFormat="1" applyFont="1" applyFill="1" applyBorder="1"/>
    <xf numFmtId="183" fontId="0" fillId="0" borderId="4" xfId="18" applyNumberFormat="1" applyFont="1" applyBorder="1" applyAlignment="1">
      <alignment horizontal="right"/>
    </xf>
    <xf numFmtId="10" fontId="0" fillId="0" borderId="33" xfId="1" applyNumberFormat="1" applyFont="1" applyFill="1" applyBorder="1"/>
    <xf numFmtId="175" fontId="0" fillId="0" borderId="0" xfId="18" applyNumberFormat="1" applyFont="1" applyAlignment="1">
      <alignment horizontal="left"/>
    </xf>
    <xf numFmtId="0" fontId="0" fillId="0" borderId="34" xfId="0" applyBorder="1"/>
    <xf numFmtId="10" fontId="0" fillId="0" borderId="3" xfId="0" applyNumberFormat="1" applyBorder="1"/>
    <xf numFmtId="170" fontId="0" fillId="0" borderId="37" xfId="0" applyNumberFormat="1" applyBorder="1" applyAlignment="1">
      <alignment horizontal="right"/>
    </xf>
    <xf numFmtId="185" fontId="0" fillId="0" borderId="38" xfId="0" applyNumberFormat="1" applyBorder="1"/>
    <xf numFmtId="168" fontId="1" fillId="0" borderId="34" xfId="1" applyNumberFormat="1" applyFont="1" applyBorder="1"/>
    <xf numFmtId="0" fontId="0" fillId="0" borderId="35" xfId="0" applyBorder="1"/>
    <xf numFmtId="185" fontId="0" fillId="0" borderId="25" xfId="0" applyNumberFormat="1" applyBorder="1"/>
    <xf numFmtId="169" fontId="0" fillId="0" borderId="36" xfId="0" applyNumberFormat="1" applyBorder="1"/>
    <xf numFmtId="169" fontId="1" fillId="0" borderId="34" xfId="1" applyNumberFormat="1" applyFont="1" applyBorder="1"/>
    <xf numFmtId="168" fontId="0" fillId="0" borderId="35" xfId="1" applyNumberFormat="1" applyFont="1" applyBorder="1"/>
    <xf numFmtId="169" fontId="0" fillId="0" borderId="35" xfId="0" applyNumberFormat="1" applyBorder="1"/>
    <xf numFmtId="185" fontId="0" fillId="0" borderId="1" xfId="0" applyNumberFormat="1" applyBorder="1"/>
    <xf numFmtId="0" fontId="0" fillId="0" borderId="36" xfId="0" applyBorder="1"/>
    <xf numFmtId="10" fontId="0" fillId="0" borderId="36" xfId="18" applyNumberFormat="1" applyFont="1" applyBorder="1" applyAlignment="1">
      <alignment horizontal="right"/>
    </xf>
    <xf numFmtId="0" fontId="0" fillId="0" borderId="36" xfId="18" applyFont="1" applyBorder="1" applyAlignment="1">
      <alignment horizontal="center"/>
    </xf>
    <xf numFmtId="0" fontId="0" fillId="0" borderId="35" xfId="0" applyBorder="1" applyAlignment="1">
      <alignment horizontal="right"/>
    </xf>
    <xf numFmtId="175" fontId="0" fillId="0" borderId="36" xfId="18" applyNumberFormat="1" applyFont="1" applyBorder="1"/>
    <xf numFmtId="9" fontId="0" fillId="0" borderId="4" xfId="2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6" xfId="0" applyBorder="1" applyAlignment="1">
      <alignment horizontal="right"/>
    </xf>
    <xf numFmtId="10" fontId="0" fillId="0" borderId="36" xfId="0" applyNumberFormat="1" applyBorder="1"/>
    <xf numFmtId="0" fontId="25" fillId="0" borderId="0" xfId="18" applyFont="1" applyAlignment="1">
      <alignment horizontal="left"/>
    </xf>
    <xf numFmtId="0" fontId="2" fillId="0" borderId="0" xfId="18" applyFont="1" applyAlignment="1">
      <alignment horizontal="left"/>
    </xf>
    <xf numFmtId="169" fontId="0" fillId="0" borderId="33" xfId="0" applyNumberFormat="1" applyBorder="1" applyAlignment="1">
      <alignment horizontal="right"/>
    </xf>
    <xf numFmtId="0" fontId="2" fillId="0" borderId="1" xfId="18" applyFont="1" applyBorder="1"/>
    <xf numFmtId="0" fontId="0" fillId="0" borderId="1" xfId="18" applyFont="1" applyBorder="1"/>
    <xf numFmtId="0" fontId="0" fillId="0" borderId="4" xfId="0" applyBorder="1"/>
    <xf numFmtId="10" fontId="0" fillId="0" borderId="0" xfId="2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right" wrapText="1"/>
    </xf>
    <xf numFmtId="174" fontId="2" fillId="0" borderId="34" xfId="18" quotePrefix="1" applyNumberFormat="1" applyFont="1" applyBorder="1" applyAlignment="1">
      <alignment horizontal="right"/>
    </xf>
    <xf numFmtId="0" fontId="2" fillId="0" borderId="33" xfId="18" applyFont="1" applyBorder="1" applyAlignment="1">
      <alignment horizontal="right" wrapText="1"/>
    </xf>
    <xf numFmtId="168" fontId="0" fillId="0" borderId="33" xfId="1" applyNumberFormat="1" applyFont="1" applyFill="1" applyBorder="1" applyAlignment="1">
      <alignment horizontal="right"/>
    </xf>
    <xf numFmtId="168" fontId="0" fillId="0" borderId="4" xfId="1" applyNumberFormat="1" applyFont="1" applyFill="1" applyBorder="1" applyAlignment="1">
      <alignment horizontal="right"/>
    </xf>
    <xf numFmtId="168" fontId="0" fillId="0" borderId="34" xfId="1" applyNumberFormat="1" applyFont="1" applyFill="1" applyBorder="1" applyAlignment="1">
      <alignment horizontal="right"/>
    </xf>
    <xf numFmtId="168" fontId="0" fillId="0" borderId="35" xfId="1" applyNumberFormat="1" applyFont="1" applyFill="1" applyBorder="1" applyAlignment="1">
      <alignment horizontal="center"/>
    </xf>
    <xf numFmtId="168" fontId="0" fillId="0" borderId="0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35" xfId="1" applyNumberFormat="1" applyFont="1" applyBorder="1" applyAlignment="1">
      <alignment horizontal="right"/>
    </xf>
    <xf numFmtId="185" fontId="0" fillId="0" borderId="0" xfId="1" applyNumberFormat="1" applyFont="1"/>
    <xf numFmtId="185" fontId="0" fillId="0" borderId="0" xfId="1" applyNumberFormat="1" applyFont="1" applyBorder="1"/>
    <xf numFmtId="185" fontId="2" fillId="4" borderId="35" xfId="1" applyNumberFormat="1" applyFont="1" applyFill="1" applyBorder="1" applyAlignment="1"/>
    <xf numFmtId="186" fontId="0" fillId="0" borderId="3" xfId="0" applyNumberFormat="1" applyBorder="1"/>
    <xf numFmtId="185" fontId="0" fillId="0" borderId="49" xfId="0" applyNumberFormat="1" applyBorder="1"/>
    <xf numFmtId="185" fontId="0" fillId="0" borderId="50" xfId="0" applyNumberFormat="1" applyBorder="1"/>
    <xf numFmtId="0" fontId="0" fillId="0" borderId="37" xfId="0" applyBorder="1"/>
    <xf numFmtId="188" fontId="14" fillId="0" borderId="19" xfId="3" applyNumberFormat="1" applyFont="1" applyFill="1" applyBorder="1" applyProtection="1">
      <protection locked="0"/>
    </xf>
    <xf numFmtId="188" fontId="31" fillId="0" borderId="19" xfId="11" applyNumberFormat="1" applyFont="1" applyFill="1" applyBorder="1" applyProtection="1">
      <protection locked="0"/>
    </xf>
    <xf numFmtId="188" fontId="31" fillId="0" borderId="20" xfId="11" applyNumberFormat="1" applyFont="1" applyFill="1" applyBorder="1" applyProtection="1">
      <protection locked="0"/>
    </xf>
    <xf numFmtId="188" fontId="1" fillId="0" borderId="21" xfId="11" applyNumberFormat="1" applyFont="1" applyFill="1" applyBorder="1"/>
    <xf numFmtId="188" fontId="1" fillId="0" borderId="17" xfId="11" applyNumberFormat="1" applyFont="1" applyFill="1" applyBorder="1"/>
    <xf numFmtId="188" fontId="14" fillId="0" borderId="40" xfId="3" applyNumberFormat="1" applyFont="1" applyFill="1" applyBorder="1" applyProtection="1">
      <protection locked="0"/>
    </xf>
    <xf numFmtId="188" fontId="14" fillId="0" borderId="43" xfId="3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185" fontId="0" fillId="0" borderId="0" xfId="1" applyNumberFormat="1" applyFont="1" applyFill="1"/>
    <xf numFmtId="185" fontId="0" fillId="0" borderId="0" xfId="1" applyNumberFormat="1" applyFont="1" applyFill="1" applyBorder="1"/>
    <xf numFmtId="169" fontId="0" fillId="0" borderId="53" xfId="0" applyNumberFormat="1" applyBorder="1"/>
    <xf numFmtId="169" fontId="0" fillId="0" borderId="48" xfId="0" applyNumberFormat="1" applyBorder="1"/>
    <xf numFmtId="169" fontId="0" fillId="0" borderId="37" xfId="0" applyNumberFormat="1" applyBorder="1"/>
    <xf numFmtId="10" fontId="0" fillId="0" borderId="51" xfId="1" applyNumberFormat="1" applyFont="1" applyFill="1" applyBorder="1"/>
    <xf numFmtId="10" fontId="0" fillId="0" borderId="50" xfId="1" applyNumberFormat="1" applyFont="1" applyFill="1" applyBorder="1"/>
    <xf numFmtId="10" fontId="0" fillId="0" borderId="52" xfId="1" applyNumberFormat="1" applyFont="1" applyFill="1" applyBorder="1"/>
    <xf numFmtId="0" fontId="0" fillId="0" borderId="52" xfId="0" applyBorder="1"/>
    <xf numFmtId="0" fontId="4" fillId="0" borderId="0" xfId="14" applyFont="1"/>
    <xf numFmtId="180" fontId="35" fillId="0" borderId="0" xfId="14" applyNumberFormat="1" applyFont="1" applyAlignment="1">
      <alignment horizontal="right"/>
    </xf>
    <xf numFmtId="0" fontId="43" fillId="0" borderId="0" xfId="14" applyFont="1"/>
    <xf numFmtId="0" fontId="35" fillId="0" borderId="0" xfId="14" applyFont="1"/>
    <xf numFmtId="0" fontId="44" fillId="0" borderId="0" xfId="14" applyFont="1"/>
    <xf numFmtId="0" fontId="35" fillId="0" borderId="0" xfId="14" applyFont="1" applyAlignment="1">
      <alignment horizontal="center"/>
    </xf>
    <xf numFmtId="182" fontId="35" fillId="0" borderId="0" xfId="14" applyNumberFormat="1" applyFont="1"/>
    <xf numFmtId="182" fontId="24" fillId="0" borderId="0" xfId="14" applyNumberFormat="1" applyFont="1"/>
    <xf numFmtId="177" fontId="32" fillId="4" borderId="3" xfId="0" applyNumberFormat="1" applyFont="1" applyFill="1" applyBorder="1"/>
    <xf numFmtId="185" fontId="0" fillId="0" borderId="0" xfId="0" applyNumberFormat="1" applyAlignment="1">
      <alignment horizontal="right"/>
    </xf>
    <xf numFmtId="185" fontId="8" fillId="0" borderId="0" xfId="1" applyNumberFormat="1" applyFont="1"/>
    <xf numFmtId="180" fontId="8" fillId="0" borderId="0" xfId="0" applyNumberFormat="1" applyFont="1"/>
    <xf numFmtId="189" fontId="0" fillId="0" borderId="3" xfId="1" applyNumberFormat="1" applyFont="1" applyBorder="1"/>
    <xf numFmtId="189" fontId="1" fillId="0" borderId="34" xfId="1" applyNumberFormat="1" applyFont="1" applyBorder="1"/>
    <xf numFmtId="189" fontId="0" fillId="0" borderId="0" xfId="1" quotePrefix="1" applyNumberFormat="1" applyFont="1" applyAlignment="1">
      <alignment horizontal="left"/>
    </xf>
    <xf numFmtId="190" fontId="0" fillId="4" borderId="3" xfId="0" applyNumberFormat="1" applyFill="1" applyBorder="1"/>
    <xf numFmtId="190" fontId="0" fillId="0" borderId="3" xfId="0" applyNumberFormat="1" applyBorder="1"/>
    <xf numFmtId="189" fontId="0" fillId="0" borderId="0" xfId="1" applyNumberFormat="1" applyFont="1"/>
    <xf numFmtId="189" fontId="0" fillId="0" borderId="0" xfId="1" applyNumberFormat="1" applyFont="1" applyBorder="1"/>
    <xf numFmtId="189" fontId="2" fillId="4" borderId="25" xfId="1" applyNumberFormat="1" applyFont="1" applyFill="1" applyBorder="1" applyAlignment="1"/>
    <xf numFmtId="189" fontId="2" fillId="4" borderId="36" xfId="1" applyNumberFormat="1" applyFont="1" applyFill="1" applyBorder="1" applyAlignment="1"/>
    <xf numFmtId="0" fontId="45" fillId="0" borderId="0" xfId="0" applyFont="1" applyAlignment="1">
      <alignment horizontal="right"/>
    </xf>
    <xf numFmtId="189" fontId="29" fillId="0" borderId="3" xfId="1" applyNumberFormat="1" applyFont="1" applyFill="1" applyBorder="1"/>
    <xf numFmtId="0" fontId="29" fillId="0" borderId="0" xfId="0" applyFont="1"/>
    <xf numFmtId="0" fontId="45" fillId="0" borderId="0" xfId="0" applyFont="1"/>
    <xf numFmtId="180" fontId="29" fillId="0" borderId="0" xfId="13" applyNumberFormat="1" applyFont="1" applyFill="1"/>
    <xf numFmtId="166" fontId="0" fillId="0" borderId="6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" fontId="0" fillId="0" borderId="54" xfId="0" applyNumberFormat="1" applyBorder="1"/>
    <xf numFmtId="1" fontId="0" fillId="0" borderId="50" xfId="0" applyNumberFormat="1" applyBorder="1"/>
    <xf numFmtId="1" fontId="0" fillId="0" borderId="52" xfId="0" applyNumberFormat="1" applyBorder="1"/>
    <xf numFmtId="166" fontId="0" fillId="0" borderId="54" xfId="1" applyNumberFormat="1" applyFont="1" applyBorder="1"/>
    <xf numFmtId="166" fontId="0" fillId="0" borderId="50" xfId="1" applyNumberFormat="1" applyFont="1" applyBorder="1"/>
    <xf numFmtId="166" fontId="0" fillId="0" borderId="52" xfId="1" applyNumberFormat="1" applyFont="1" applyBorder="1"/>
    <xf numFmtId="2" fontId="8" fillId="0" borderId="6" xfId="0" applyNumberFormat="1" applyFont="1" applyBorder="1"/>
    <xf numFmtId="2" fontId="8" fillId="0" borderId="4" xfId="0" applyNumberFormat="1" applyFont="1" applyBorder="1"/>
    <xf numFmtId="2" fontId="8" fillId="0" borderId="34" xfId="0" applyNumberFormat="1" applyFont="1" applyBorder="1"/>
    <xf numFmtId="0" fontId="0" fillId="0" borderId="1" xfId="0" applyBorder="1" applyAlignment="1">
      <alignment horizontal="center"/>
    </xf>
    <xf numFmtId="0" fontId="23" fillId="0" borderId="0" xfId="6" quotePrefix="1" applyFont="1" applyAlignment="1">
      <alignment horizontal="center"/>
    </xf>
    <xf numFmtId="37" fontId="21" fillId="0" borderId="0" xfId="5" applyNumberFormat="1" applyFont="1" applyAlignment="1">
      <alignment horizontal="center"/>
    </xf>
    <xf numFmtId="3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37" fontId="9" fillId="0" borderId="0" xfId="5" applyNumberFormat="1" applyFont="1" applyAlignment="1">
      <alignment horizontal="center"/>
    </xf>
    <xf numFmtId="0" fontId="9" fillId="0" borderId="0" xfId="5" applyFont="1" applyAlignment="1">
      <alignment horizontal="center"/>
    </xf>
    <xf numFmtId="37" fontId="9" fillId="0" borderId="7" xfId="7" applyNumberFormat="1" applyFont="1" applyBorder="1" applyAlignment="1">
      <alignment horizontal="center"/>
    </xf>
    <xf numFmtId="0" fontId="9" fillId="0" borderId="13" xfId="7" applyFont="1" applyBorder="1" applyAlignment="1">
      <alignment horizontal="center"/>
    </xf>
    <xf numFmtId="0" fontId="9" fillId="0" borderId="26" xfId="7" applyFont="1" applyBorder="1" applyAlignment="1">
      <alignment horizontal="center"/>
    </xf>
    <xf numFmtId="37" fontId="9" fillId="0" borderId="22" xfId="8" applyNumberFormat="1" applyFont="1" applyBorder="1" applyAlignment="1">
      <alignment horizontal="center" wrapText="1"/>
    </xf>
    <xf numFmtId="37" fontId="9" fillId="0" borderId="4" xfId="8" applyNumberFormat="1" applyFont="1" applyBorder="1" applyAlignment="1">
      <alignment horizontal="center" wrapText="1"/>
    </xf>
    <xf numFmtId="37" fontId="9" fillId="0" borderId="27" xfId="8" applyNumberFormat="1" applyFont="1" applyBorder="1" applyAlignment="1">
      <alignment horizontal="center" wrapText="1"/>
    </xf>
    <xf numFmtId="37" fontId="9" fillId="0" borderId="28" xfId="8" applyNumberFormat="1" applyFont="1" applyBorder="1" applyAlignment="1">
      <alignment horizontal="center" wrapText="1"/>
    </xf>
    <xf numFmtId="0" fontId="32" fillId="0" borderId="0" xfId="14" applyFont="1" applyAlignment="1">
      <alignment horizontal="center"/>
    </xf>
    <xf numFmtId="0" fontId="32" fillId="0" borderId="0" xfId="14" quotePrefix="1" applyFont="1" applyAlignment="1">
      <alignment horizontal="center"/>
    </xf>
    <xf numFmtId="0" fontId="33" fillId="0" borderId="0" xfId="14" applyFont="1" applyAlignment="1">
      <alignment horizontal="center"/>
    </xf>
    <xf numFmtId="0" fontId="32" fillId="0" borderId="35" xfId="14" applyFont="1" applyBorder="1" applyAlignment="1">
      <alignment horizontal="center"/>
    </xf>
    <xf numFmtId="0" fontId="32" fillId="0" borderId="25" xfId="14" applyFont="1" applyBorder="1" applyAlignment="1">
      <alignment horizontal="center"/>
    </xf>
    <xf numFmtId="0" fontId="32" fillId="0" borderId="36" xfId="14" applyFont="1" applyBorder="1" applyAlignment="1">
      <alignment horizontal="center"/>
    </xf>
  </cellXfs>
  <cellStyles count="23">
    <cellStyle name="Affinity Exhibit Header_PFAD selection exhibit for MEARIE" xfId="19" xr:uid="{00000000-0005-0000-0000-000000000000}"/>
    <cellStyle name="Affinity Totals" xfId="21" xr:uid="{00000000-0005-0000-0000-000001000000}"/>
    <cellStyle name="Bad" xfId="13" builtinId="27"/>
    <cellStyle name="Comma" xfId="1" builtinId="3"/>
    <cellStyle name="Comma 2" xfId="3" xr:uid="{00000000-0005-0000-0000-000004000000}"/>
    <cellStyle name="Comma 3" xfId="16" xr:uid="{00000000-0005-0000-0000-000005000000}"/>
    <cellStyle name="Comma 3 2" xfId="11" xr:uid="{00000000-0005-0000-0000-000006000000}"/>
    <cellStyle name="Currency 2" xfId="12" xr:uid="{00000000-0005-0000-0000-000007000000}"/>
    <cellStyle name="Neutral" xfId="17" builtinId="28"/>
    <cellStyle name="Normal" xfId="0" builtinId="0"/>
    <cellStyle name="Normal 13" xfId="7" xr:uid="{00000000-0005-0000-0000-00000A000000}"/>
    <cellStyle name="Normal 2" xfId="20" xr:uid="{00000000-0005-0000-0000-00000B000000}"/>
    <cellStyle name="Normal 2 9" xfId="8" xr:uid="{00000000-0005-0000-0000-00000C000000}"/>
    <cellStyle name="Normal 3" xfId="14" xr:uid="{00000000-0005-0000-0000-00000D000000}"/>
    <cellStyle name="Normal 4 2 2" xfId="9" xr:uid="{00000000-0005-0000-0000-00000E000000}"/>
    <cellStyle name="Normal 4 3" xfId="10" xr:uid="{00000000-0005-0000-0000-00000F000000}"/>
    <cellStyle name="Normal_Additional_Exhibit_-_Capital_Required_for_Balance_Sheet_Assets(1)" xfId="5" xr:uid="{00000000-0005-0000-0000-000010000000}"/>
    <cellStyle name="Normal_Canadian 2" xfId="6" xr:uid="{00000000-0005-0000-0000-000011000000}"/>
    <cellStyle name="Normal_Copy of Kings.reserve.1205.Scenario 1 FINAL2" xfId="18" xr:uid="{00000000-0005-0000-0000-000012000000}"/>
    <cellStyle name="Normal_PC1 Interim 2007 a7" xfId="4" xr:uid="{00000000-0005-0000-0000-000013000000}"/>
    <cellStyle name="Percent" xfId="2" builtinId="5"/>
    <cellStyle name="Percent 2" xfId="22" xr:uid="{00000000-0005-0000-0000-000015000000}"/>
    <cellStyle name="Percent 3" xfId="15" xr:uid="{00000000-0005-0000-0000-000016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view="pageLayout" zoomScaleNormal="100" zoomScaleSheetLayoutView="75" workbookViewId="0">
      <selection activeCell="F2" sqref="F2"/>
    </sheetView>
  </sheetViews>
  <sheetFormatPr defaultColWidth="9.109375" defaultRowHeight="14.4"/>
  <cols>
    <col min="1" max="1" width="8.5546875" customWidth="1"/>
    <col min="2" max="2" width="22.5546875" customWidth="1"/>
    <col min="3" max="7" width="11.6640625" customWidth="1"/>
    <col min="8" max="8" width="12.33203125" customWidth="1"/>
    <col min="9" max="12" width="11.6640625" customWidth="1"/>
    <col min="13" max="13" width="3.88671875" customWidth="1"/>
    <col min="14" max="21" width="11.6640625" customWidth="1"/>
  </cols>
  <sheetData>
    <row r="1" spans="1:13" ht="18">
      <c r="B1" s="4" t="s">
        <v>340</v>
      </c>
      <c r="C1" s="4"/>
      <c r="L1" s="82" t="s">
        <v>54</v>
      </c>
      <c r="M1" s="83" t="s">
        <v>291</v>
      </c>
    </row>
    <row r="2" spans="1:13" ht="18">
      <c r="L2" s="82" t="s">
        <v>55</v>
      </c>
      <c r="M2" s="83">
        <v>1</v>
      </c>
    </row>
    <row r="3" spans="1:13">
      <c r="B3" s="3" t="s">
        <v>6</v>
      </c>
      <c r="C3" s="3"/>
    </row>
    <row r="4" spans="1:13">
      <c r="B4" t="s">
        <v>0</v>
      </c>
      <c r="E4" s="1" t="s">
        <v>37</v>
      </c>
      <c r="F4" s="1" t="s">
        <v>38</v>
      </c>
      <c r="G4" s="1" t="s">
        <v>39</v>
      </c>
    </row>
    <row r="5" spans="1:13">
      <c r="B5" s="20" t="s">
        <v>53</v>
      </c>
      <c r="C5" s="19"/>
      <c r="E5" s="21">
        <v>42369</v>
      </c>
      <c r="F5" s="21">
        <f>E5</f>
        <v>42369</v>
      </c>
      <c r="G5" s="21">
        <f>F5</f>
        <v>42369</v>
      </c>
    </row>
    <row r="6" spans="1:13" s="5" customFormat="1">
      <c r="B6" t="s">
        <v>1</v>
      </c>
      <c r="C6"/>
      <c r="E6" s="21">
        <v>42735</v>
      </c>
      <c r="F6" s="21">
        <v>42916</v>
      </c>
      <c r="G6" s="21">
        <v>43281</v>
      </c>
    </row>
    <row r="7" spans="1:13">
      <c r="B7" s="20" t="s">
        <v>113</v>
      </c>
      <c r="E7" s="2">
        <v>2.5000000000000001E-2</v>
      </c>
      <c r="F7" s="2">
        <v>6.6000000000000003E-2</v>
      </c>
      <c r="G7" s="2">
        <v>4.65E-2</v>
      </c>
      <c r="H7" s="6"/>
    </row>
    <row r="8" spans="1:13">
      <c r="B8" t="s">
        <v>52</v>
      </c>
      <c r="E8">
        <v>2</v>
      </c>
      <c r="F8">
        <v>2</v>
      </c>
      <c r="G8">
        <v>2</v>
      </c>
      <c r="H8" s="6"/>
    </row>
    <row r="9" spans="1:13">
      <c r="B9" t="s">
        <v>33</v>
      </c>
      <c r="E9" s="347">
        <v>1250</v>
      </c>
      <c r="F9" s="347">
        <v>1875</v>
      </c>
      <c r="G9" s="347">
        <v>1125</v>
      </c>
      <c r="H9" s="6"/>
    </row>
    <row r="10" spans="1:13">
      <c r="B10" t="s">
        <v>34</v>
      </c>
      <c r="E10" s="347">
        <v>1265</v>
      </c>
      <c r="F10" s="347">
        <v>2010</v>
      </c>
      <c r="G10" s="347">
        <v>1140</v>
      </c>
      <c r="H10" s="6"/>
    </row>
    <row r="11" spans="1:13">
      <c r="B11" s="20" t="s">
        <v>341</v>
      </c>
      <c r="C11" s="20"/>
      <c r="E11" s="381">
        <f>E9*E7/E8</f>
        <v>15.625</v>
      </c>
      <c r="F11" s="381">
        <f>F9*F7/F8</f>
        <v>61.875</v>
      </c>
      <c r="G11" s="381">
        <f>G9*G7/G8</f>
        <v>26.15625</v>
      </c>
      <c r="H11" s="6"/>
    </row>
    <row r="12" spans="1:13">
      <c r="B12" s="20" t="s">
        <v>360</v>
      </c>
      <c r="C12" s="20"/>
      <c r="E12" s="382">
        <f>IRR(E18:E23,0.01)</f>
        <v>6.4419603088703425E-3</v>
      </c>
      <c r="F12" s="382">
        <f>IRR(F18:F23,0.01)</f>
        <v>8.586665417154471E-3</v>
      </c>
      <c r="G12" s="382">
        <f>IRR(G18:G23,0.01)</f>
        <v>2.0417790400847124E-2</v>
      </c>
      <c r="H12" s="77"/>
    </row>
    <row r="13" spans="1:13">
      <c r="B13" s="394" t="s">
        <v>395</v>
      </c>
      <c r="C13" s="394"/>
      <c r="D13" s="395"/>
      <c r="E13" s="396">
        <f>YIELD(E5,E6,E7,E10/E9*100,100,2,0)/2</f>
        <v>6.4419603087928247E-3</v>
      </c>
      <c r="F13" s="396">
        <f t="shared" ref="F13:G13" si="0">YIELD(F5,F6,F7,F10/F9*100,100,2,0)/2</f>
        <v>8.5866654146638036E-3</v>
      </c>
      <c r="G13" s="396">
        <f t="shared" si="0"/>
        <v>2.0417790387068913E-2</v>
      </c>
      <c r="H13" s="77"/>
    </row>
    <row r="14" spans="1:13">
      <c r="A14" s="20"/>
      <c r="B14" s="77"/>
      <c r="C14" s="77"/>
      <c r="D14" s="77"/>
      <c r="E14" s="77"/>
      <c r="F14" s="77"/>
      <c r="G14" s="77"/>
      <c r="H14" s="77"/>
    </row>
    <row r="15" spans="1:13">
      <c r="B15" s="361" t="s">
        <v>28</v>
      </c>
      <c r="H15" s="77"/>
    </row>
    <row r="16" spans="1:13">
      <c r="E16" s="78" t="s">
        <v>40</v>
      </c>
      <c r="F16" s="78"/>
      <c r="G16" s="78"/>
      <c r="H16" s="77"/>
    </row>
    <row r="17" spans="2:12">
      <c r="B17" s="13" t="s">
        <v>5</v>
      </c>
      <c r="E17" s="1" t="s">
        <v>37</v>
      </c>
      <c r="F17" s="1" t="s">
        <v>38</v>
      </c>
      <c r="G17" s="1" t="s">
        <v>39</v>
      </c>
      <c r="H17" s="77"/>
    </row>
    <row r="18" spans="2:12">
      <c r="B18" s="79">
        <v>2016</v>
      </c>
      <c r="E18" s="380">
        <f>-E10</f>
        <v>-1265</v>
      </c>
      <c r="F18" s="380">
        <f>-F10</f>
        <v>-2010</v>
      </c>
      <c r="G18" s="380">
        <f>-G10</f>
        <v>-1140</v>
      </c>
      <c r="H18" s="77"/>
    </row>
    <row r="19" spans="2:12">
      <c r="B19" s="80">
        <v>2016.5</v>
      </c>
      <c r="C19" s="81"/>
      <c r="E19" s="362">
        <f>E11</f>
        <v>15.625</v>
      </c>
      <c r="F19" s="362">
        <f>F11</f>
        <v>61.875</v>
      </c>
      <c r="G19" s="362">
        <f>G11</f>
        <v>26.15625</v>
      </c>
    </row>
    <row r="20" spans="2:12">
      <c r="B20" s="80">
        <f>B19+0.5</f>
        <v>2017</v>
      </c>
      <c r="C20" s="81"/>
      <c r="E20" s="362">
        <f>E11+E9</f>
        <v>1265.625</v>
      </c>
      <c r="F20" s="362">
        <f>F11</f>
        <v>61.875</v>
      </c>
      <c r="G20" s="362">
        <f>G11</f>
        <v>26.15625</v>
      </c>
    </row>
    <row r="21" spans="2:12">
      <c r="B21" s="80">
        <f t="shared" ref="B21:B23" si="1">B20+0.5</f>
        <v>2017.5</v>
      </c>
      <c r="C21" s="81"/>
      <c r="E21" s="362">
        <v>0</v>
      </c>
      <c r="F21" s="362">
        <f>F11+F9</f>
        <v>1936.875</v>
      </c>
      <c r="G21" s="362">
        <f>G11</f>
        <v>26.15625</v>
      </c>
    </row>
    <row r="22" spans="2:12">
      <c r="B22" s="80">
        <f t="shared" si="1"/>
        <v>2018</v>
      </c>
      <c r="C22" s="81"/>
      <c r="E22" s="362">
        <v>0</v>
      </c>
      <c r="F22" s="362">
        <v>0</v>
      </c>
      <c r="G22" s="362">
        <f>G11</f>
        <v>26.15625</v>
      </c>
    </row>
    <row r="23" spans="2:12">
      <c r="B23" s="80">
        <f t="shared" si="1"/>
        <v>2018.5</v>
      </c>
      <c r="C23" s="81"/>
      <c r="E23" s="362">
        <v>0</v>
      </c>
      <c r="F23" s="362">
        <v>0</v>
      </c>
      <c r="G23" s="362">
        <f>G9+G11</f>
        <v>1151.15625</v>
      </c>
    </row>
    <row r="24" spans="2:12">
      <c r="B24" s="81"/>
      <c r="C24" s="81"/>
      <c r="E24" s="76"/>
      <c r="F24" s="76"/>
      <c r="G24" s="76"/>
      <c r="I24" t="s">
        <v>203</v>
      </c>
    </row>
    <row r="25" spans="2:12">
      <c r="B25" s="361" t="s">
        <v>35</v>
      </c>
    </row>
    <row r="27" spans="2:12">
      <c r="C27" s="105" t="s">
        <v>346</v>
      </c>
      <c r="D27" s="287">
        <v>1E-4</v>
      </c>
      <c r="I27" s="1"/>
      <c r="J27" s="1"/>
      <c r="K27" s="1"/>
      <c r="L27" s="1"/>
    </row>
    <row r="28" spans="2:12">
      <c r="I28" s="1"/>
      <c r="J28" s="1"/>
      <c r="K28" s="1"/>
      <c r="L28" s="1"/>
    </row>
    <row r="29" spans="2:12" ht="43.2">
      <c r="C29" s="233" t="s">
        <v>389</v>
      </c>
      <c r="D29" s="233" t="s">
        <v>388</v>
      </c>
      <c r="E29" s="233" t="s">
        <v>41</v>
      </c>
      <c r="F29" s="233" t="s">
        <v>280</v>
      </c>
      <c r="G29" s="233" t="s">
        <v>42</v>
      </c>
      <c r="H29" s="12"/>
      <c r="I29" s="233" t="s">
        <v>304</v>
      </c>
      <c r="J29" s="233" t="s">
        <v>305</v>
      </c>
      <c r="K29" s="233" t="s">
        <v>306</v>
      </c>
      <c r="L29" s="233" t="s">
        <v>307</v>
      </c>
    </row>
    <row r="30" spans="2:12">
      <c r="C30" s="234" t="s">
        <v>17</v>
      </c>
      <c r="D30" s="234" t="s">
        <v>18</v>
      </c>
      <c r="E30" s="234" t="s">
        <v>19</v>
      </c>
      <c r="F30" s="234" t="s">
        <v>20</v>
      </c>
      <c r="G30" s="234" t="s">
        <v>21</v>
      </c>
      <c r="H30" s="12"/>
      <c r="I30" s="234" t="s">
        <v>23</v>
      </c>
      <c r="J30" s="234" t="s">
        <v>24</v>
      </c>
      <c r="K30" s="234" t="s">
        <v>25</v>
      </c>
      <c r="L30" s="234" t="s">
        <v>26</v>
      </c>
    </row>
    <row r="32" spans="2:12">
      <c r="C32" s="1" t="s">
        <v>361</v>
      </c>
      <c r="D32" s="56">
        <f>E12</f>
        <v>6.4419603088703425E-3</v>
      </c>
    </row>
    <row r="34" spans="2:12">
      <c r="B34" s="13"/>
      <c r="C34" s="405">
        <v>0.5</v>
      </c>
      <c r="D34" s="397">
        <v>1</v>
      </c>
      <c r="E34" s="247">
        <f>E19</f>
        <v>15.625</v>
      </c>
      <c r="F34" s="235">
        <f>1/(1+$D$32)^D34</f>
        <v>0.99359927292092098</v>
      </c>
      <c r="G34" s="247">
        <f>E34*F34</f>
        <v>15.52498863938939</v>
      </c>
      <c r="I34" s="236">
        <f>1/(1+$D$32-$D$27)^$D34</f>
        <v>0.99369800668261532</v>
      </c>
      <c r="J34" s="236">
        <f>1/(1+$D$32+$D$27)^$D34</f>
        <v>0.99350055877763621</v>
      </c>
      <c r="K34" s="247">
        <f>E34*I34</f>
        <v>15.526531354415864</v>
      </c>
      <c r="L34" s="247">
        <f>E34*J34</f>
        <v>15.523446230900566</v>
      </c>
    </row>
    <row r="35" spans="2:12">
      <c r="C35" s="406">
        <f>C34+0.5</f>
        <v>1</v>
      </c>
      <c r="D35" s="398">
        <f>D34+1</f>
        <v>2</v>
      </c>
      <c r="E35" s="248">
        <f>E20</f>
        <v>1265.625</v>
      </c>
      <c r="F35" s="22">
        <f>1/(1+$D$32)^D35</f>
        <v>0.98723951514898278</v>
      </c>
      <c r="G35" s="248">
        <f t="shared" ref="G35:G38" si="2">E35*F35</f>
        <v>1249.4750113604314</v>
      </c>
      <c r="I35" s="17">
        <f>1/(1+$D$32-$D$27)^$D35</f>
        <v>0.98743572848500305</v>
      </c>
      <c r="J35" s="17">
        <f>1/(1+$D$32+$D$27)^$D35</f>
        <v>0.98704336029147544</v>
      </c>
      <c r="K35" s="248">
        <f>E35*I35</f>
        <v>1249.723343863832</v>
      </c>
      <c r="L35" s="248">
        <f>E35*J35</f>
        <v>1249.2267528688985</v>
      </c>
    </row>
    <row r="36" spans="2:12">
      <c r="C36" s="406">
        <f t="shared" ref="C36:C38" si="3">C35+0.5</f>
        <v>1.5</v>
      </c>
      <c r="D36" s="398">
        <f t="shared" ref="D36:D38" si="4">D35+1</f>
        <v>3</v>
      </c>
      <c r="E36" s="248">
        <f>E21</f>
        <v>0</v>
      </c>
      <c r="F36" s="22">
        <f>1/(1+$D$32)^D36</f>
        <v>0.98092046445083181</v>
      </c>
      <c r="G36" s="248">
        <f t="shared" si="2"/>
        <v>0</v>
      </c>
      <c r="I36" s="17">
        <f>1/(1+$D$32-$D$27)^$D36</f>
        <v>0.98121291512274356</v>
      </c>
      <c r="J36" s="17">
        <f>1/(1+$D$32+$D$27)^$D36</f>
        <v>0.98062812998733662</v>
      </c>
      <c r="K36" s="248">
        <f>E36*I36</f>
        <v>0</v>
      </c>
      <c r="L36" s="248">
        <f>E36*J36</f>
        <v>0</v>
      </c>
    </row>
    <row r="37" spans="2:12">
      <c r="B37" s="13"/>
      <c r="C37" s="406">
        <f t="shared" si="3"/>
        <v>2</v>
      </c>
      <c r="D37" s="398">
        <f t="shared" si="4"/>
        <v>4</v>
      </c>
      <c r="E37" s="248">
        <f>E22</f>
        <v>0</v>
      </c>
      <c r="F37" s="22">
        <f>1/(1+$D$32)^D37</f>
        <v>0.9746418602715986</v>
      </c>
      <c r="G37" s="248">
        <f t="shared" si="2"/>
        <v>0</v>
      </c>
      <c r="I37" s="17">
        <f>1/(1+$D$32-$D$27)^$D37</f>
        <v>0.97502931788870861</v>
      </c>
      <c r="J37" s="17">
        <f>1/(1+$D$32+$D$27)^$D37</f>
        <v>0.97425459509548729</v>
      </c>
      <c r="K37" s="248">
        <f>E37*I37</f>
        <v>0</v>
      </c>
      <c r="L37" s="248">
        <f>E37*J37</f>
        <v>0</v>
      </c>
    </row>
    <row r="38" spans="2:12">
      <c r="B38" s="13"/>
      <c r="C38" s="407">
        <f t="shared" si="3"/>
        <v>2.5</v>
      </c>
      <c r="D38" s="398">
        <f t="shared" si="4"/>
        <v>5</v>
      </c>
      <c r="E38" s="248">
        <f>E23</f>
        <v>0</v>
      </c>
      <c r="F38" s="22">
        <f>1/(1+$D$32)^D38</f>
        <v>0.9684034437241541</v>
      </c>
      <c r="G38" s="249">
        <f t="shared" si="2"/>
        <v>0</v>
      </c>
      <c r="I38" s="237">
        <f>1/(1+$D$32-$D$27)^$D38</f>
        <v>0.9688846896431198</v>
      </c>
      <c r="J38" s="237">
        <f>1/(1+$D$32+$D$27)^$D38</f>
        <v>0.9679224846190464</v>
      </c>
      <c r="K38" s="249">
        <f>E38*I38</f>
        <v>0</v>
      </c>
      <c r="L38" s="249">
        <f>E38*J38</f>
        <v>0</v>
      </c>
    </row>
    <row r="39" spans="2:12">
      <c r="B39" s="13"/>
      <c r="C39" s="310" t="s">
        <v>4</v>
      </c>
      <c r="D39" s="313"/>
      <c r="E39" s="314"/>
      <c r="F39" s="315"/>
      <c r="G39" s="311">
        <f>SUM(G34:G38)</f>
        <v>1264.9999999998208</v>
      </c>
      <c r="I39" s="18"/>
      <c r="J39" s="18"/>
      <c r="K39" s="250">
        <f>SUM(K34:K38)</f>
        <v>1265.249875218248</v>
      </c>
      <c r="L39" s="250">
        <f>SUM(L34:L38)</f>
        <v>1264.7501990997991</v>
      </c>
    </row>
    <row r="40" spans="2:12">
      <c r="B40" s="9" t="s">
        <v>323</v>
      </c>
      <c r="C40" s="383">
        <f>D40/2</f>
        <v>0.99386364085399537</v>
      </c>
      <c r="D40" s="384">
        <f>SUMPRODUCT(D34:D38,G34:G38)/G39</f>
        <v>1.9877272817079907</v>
      </c>
      <c r="G40" s="251"/>
      <c r="K40" s="11" t="s">
        <v>347</v>
      </c>
      <c r="L40" s="350">
        <f>-(L39-K39)/((D$27-(-D$27))*G39)</f>
        <v>1.9750044207467636</v>
      </c>
    </row>
    <row r="41" spans="2:12">
      <c r="B41" s="10" t="s">
        <v>390</v>
      </c>
      <c r="C41" s="386">
        <f>D41/2</f>
        <v>0.98750219093506919</v>
      </c>
      <c r="D41" s="384">
        <f>D40/(1+D32)</f>
        <v>1.9750043818701384</v>
      </c>
      <c r="G41" s="251"/>
      <c r="K41" s="11" t="s">
        <v>343</v>
      </c>
      <c r="L41" s="386">
        <f>L40/2</f>
        <v>0.98750221037338182</v>
      </c>
    </row>
    <row r="42" spans="2:12">
      <c r="B42" s="392" t="s">
        <v>391</v>
      </c>
      <c r="C42" s="393">
        <f>DURATION(E$5,E$6,E$7,E$13*2,2,0)</f>
        <v>0.99386364085399592</v>
      </c>
      <c r="D42" s="385"/>
      <c r="E42" s="10"/>
      <c r="G42" s="251"/>
      <c r="I42" s="1"/>
      <c r="J42" s="7"/>
    </row>
    <row r="43" spans="2:12">
      <c r="B43" s="13"/>
      <c r="E43" s="10"/>
      <c r="G43" s="251"/>
      <c r="I43" s="1"/>
      <c r="J43" s="7"/>
    </row>
    <row r="44" spans="2:12">
      <c r="B44" s="13"/>
      <c r="C44" s="1" t="s">
        <v>362</v>
      </c>
      <c r="D44" s="56">
        <f>F12</f>
        <v>8.586665417154471E-3</v>
      </c>
      <c r="E44" s="251"/>
      <c r="G44" s="251"/>
    </row>
    <row r="45" spans="2:12">
      <c r="B45" s="13"/>
      <c r="C45" s="13"/>
      <c r="D45" s="13"/>
      <c r="E45" s="253"/>
      <c r="F45" s="13"/>
      <c r="G45" s="253"/>
      <c r="H45" s="13"/>
      <c r="I45" s="13"/>
      <c r="J45" s="13"/>
      <c r="K45" s="13"/>
      <c r="L45" s="13"/>
    </row>
    <row r="46" spans="2:12">
      <c r="B46" s="13"/>
      <c r="C46" s="405">
        <f>C34</f>
        <v>0.5</v>
      </c>
      <c r="D46" s="399">
        <f>D34</f>
        <v>1</v>
      </c>
      <c r="E46" s="351">
        <f>F19</f>
        <v>61.875</v>
      </c>
      <c r="F46" s="235">
        <f>1/(1+$D$44)^D46</f>
        <v>0.99148643769387634</v>
      </c>
      <c r="G46" s="247">
        <f>E46*F46</f>
        <v>61.348223332308599</v>
      </c>
      <c r="I46" s="236">
        <f>1/(1+$D$44-$D$27)^$D46</f>
        <v>0.99158475197721729</v>
      </c>
      <c r="J46" s="236">
        <f>1/(1+$D$44+$D$27)^$D46</f>
        <v>0.9913881429040583</v>
      </c>
      <c r="K46" s="247">
        <f>E46*I46</f>
        <v>61.354306528590321</v>
      </c>
      <c r="L46" s="247">
        <f>E46*J46</f>
        <v>61.342141342188604</v>
      </c>
    </row>
    <row r="47" spans="2:12">
      <c r="B47" s="13"/>
      <c r="C47" s="406">
        <f t="shared" ref="C47:C50" si="5">C35</f>
        <v>1</v>
      </c>
      <c r="D47" s="400">
        <f t="shared" ref="D47:D50" si="6">D35</f>
        <v>2</v>
      </c>
      <c r="E47" s="352">
        <f>F20</f>
        <v>61.875</v>
      </c>
      <c r="F47" s="22">
        <f>1/(1+$D$44)^D47</f>
        <v>0.98304535613089294</v>
      </c>
      <c r="G47" s="248">
        <f t="shared" ref="G47:G50" si="7">E47*F47</f>
        <v>60.825931410599004</v>
      </c>
      <c r="I47" s="17">
        <f>1/(1+$D$44-$D$27)^$D47</f>
        <v>0.98324032035371944</v>
      </c>
      <c r="J47" s="17">
        <f>1/(1+$D$44+$D$27)^$D47</f>
        <v>0.98285044989075765</v>
      </c>
      <c r="K47" s="248">
        <f>E47*I47</f>
        <v>60.83799482188639</v>
      </c>
      <c r="L47" s="248">
        <f>E47*J47</f>
        <v>60.813871586990629</v>
      </c>
    </row>
    <row r="48" spans="2:12">
      <c r="C48" s="406">
        <f t="shared" si="5"/>
        <v>1.5</v>
      </c>
      <c r="D48" s="400">
        <f t="shared" si="6"/>
        <v>3</v>
      </c>
      <c r="E48" s="352">
        <f>F21</f>
        <v>1936.875</v>
      </c>
      <c r="F48" s="22">
        <f>1/(1+$D$44)^D48</f>
        <v>0.97467613824172694</v>
      </c>
      <c r="G48" s="248">
        <f t="shared" si="7"/>
        <v>1887.8258452569448</v>
      </c>
      <c r="I48" s="17">
        <f>1/(1+$D$44-$D$27)^$D48</f>
        <v>0.97496610919194238</v>
      </c>
      <c r="J48" s="17">
        <f>1/(1+$D$44+$D$27)^$D48</f>
        <v>0.97438628226961654</v>
      </c>
      <c r="K48" s="248">
        <f>E48*I48</f>
        <v>1888.3874827411435</v>
      </c>
      <c r="L48" s="248">
        <f>E48*J48</f>
        <v>1887.2644304709636</v>
      </c>
    </row>
    <row r="49" spans="2:12">
      <c r="B49" s="13"/>
      <c r="C49" s="406">
        <f t="shared" si="5"/>
        <v>2</v>
      </c>
      <c r="D49" s="400">
        <f t="shared" si="6"/>
        <v>4</v>
      </c>
      <c r="E49" s="352">
        <f>F22</f>
        <v>0</v>
      </c>
      <c r="F49" s="22">
        <f>1/(1+$D$44)^D49</f>
        <v>0.96637817221051403</v>
      </c>
      <c r="G49" s="248">
        <f t="shared" si="7"/>
        <v>0</v>
      </c>
      <c r="I49" s="17">
        <f>1/(1+$D$44-$D$27)^$D49</f>
        <v>0.9667615275692848</v>
      </c>
      <c r="J49" s="17">
        <f>1/(1+$D$44+$D$27)^$D49</f>
        <v>0.96599500685046458</v>
      </c>
      <c r="K49" s="248">
        <f>E49*I49</f>
        <v>0</v>
      </c>
      <c r="L49" s="248">
        <f>E49*J49</f>
        <v>0</v>
      </c>
    </row>
    <row r="50" spans="2:12">
      <c r="B50" s="13"/>
      <c r="C50" s="407">
        <f t="shared" si="5"/>
        <v>2.5</v>
      </c>
      <c r="D50" s="401">
        <f t="shared" si="6"/>
        <v>5</v>
      </c>
      <c r="E50" s="352">
        <f>F23</f>
        <v>0</v>
      </c>
      <c r="F50" s="22">
        <f>1/(1+$D$44)^D50</f>
        <v>0.95815085143012169</v>
      </c>
      <c r="G50" s="249">
        <f t="shared" si="7"/>
        <v>0</v>
      </c>
      <c r="I50" s="237">
        <f>1/(1+$D$44-$D$27)^$D50</f>
        <v>0.95862598953590494</v>
      </c>
      <c r="J50" s="237">
        <f>1/(1+$D$44+$D$27)^$D50</f>
        <v>0.95767599589607511</v>
      </c>
      <c r="K50" s="249">
        <f>E50*I50</f>
        <v>0</v>
      </c>
      <c r="L50" s="249">
        <f>E50*J50</f>
        <v>0</v>
      </c>
    </row>
    <row r="51" spans="2:12">
      <c r="B51" s="13"/>
      <c r="C51" s="310" t="s">
        <v>4</v>
      </c>
      <c r="D51" s="353"/>
      <c r="E51" s="314"/>
      <c r="F51" s="315"/>
      <c r="G51" s="311">
        <f>SUM(G46:G50)</f>
        <v>2009.9999999998524</v>
      </c>
      <c r="I51" s="18"/>
      <c r="J51" s="18"/>
      <c r="K51" s="250">
        <f>SUM(K46:K50)</f>
        <v>2010.5797840916202</v>
      </c>
      <c r="L51" s="250">
        <f>SUM(L46:L50)</f>
        <v>2009.4204434001429</v>
      </c>
    </row>
    <row r="52" spans="2:12">
      <c r="B52" s="9" t="s">
        <v>323</v>
      </c>
      <c r="C52" s="383">
        <f>D52/2</f>
        <v>1.4543476671454654</v>
      </c>
      <c r="D52" s="316">
        <f>SUMPRODUCT(D46:D50,G46:G50)/G51</f>
        <v>2.9086953342909307</v>
      </c>
      <c r="G52" s="251"/>
      <c r="K52" s="11" t="str">
        <f>K40</f>
        <v xml:space="preserve"> (13) Effective duration (semi-annual periods)</v>
      </c>
      <c r="L52" s="350">
        <f>-(L51-K51)/((D$27-(-D$27))*G51)</f>
        <v>2.8839320683519087</v>
      </c>
    </row>
    <row r="53" spans="2:12">
      <c r="B53" s="10" t="s">
        <v>390</v>
      </c>
      <c r="C53" s="386">
        <f>D53/2</f>
        <v>1.4419659876664568</v>
      </c>
      <c r="D53" s="312">
        <f>D52/(1+D44)</f>
        <v>2.8839319753329136</v>
      </c>
      <c r="G53" s="251"/>
      <c r="K53" s="11" t="str">
        <f>K41</f>
        <v xml:space="preserve"> (14) Effective duration (annual basis)</v>
      </c>
      <c r="L53" s="386">
        <f>L52/2</f>
        <v>1.4419660341759544</v>
      </c>
    </row>
    <row r="54" spans="2:12">
      <c r="B54" s="392" t="str">
        <f>B42</f>
        <v>(8) Excel Duration (comparison):</v>
      </c>
      <c r="C54" s="393">
        <f>DURATION(F$5,F$6,F$7,F$13*2,2,0)</f>
        <v>1.4543476671456428</v>
      </c>
      <c r="G54" s="251"/>
      <c r="I54" s="1"/>
      <c r="J54" s="7"/>
    </row>
    <row r="55" spans="2:12">
      <c r="B55" s="13"/>
      <c r="E55" s="251"/>
      <c r="G55" s="251"/>
      <c r="I55" s="1"/>
      <c r="J55" s="7"/>
    </row>
    <row r="56" spans="2:12">
      <c r="B56" s="13"/>
      <c r="C56" s="1" t="s">
        <v>363</v>
      </c>
      <c r="D56" s="56">
        <f>G12</f>
        <v>2.0417790400847124E-2</v>
      </c>
      <c r="E56" s="251"/>
      <c r="G56" s="251"/>
    </row>
    <row r="57" spans="2:12">
      <c r="B57" s="13"/>
      <c r="C57" s="13"/>
      <c r="D57" s="13"/>
      <c r="E57" s="253"/>
      <c r="F57" s="13"/>
      <c r="G57" s="253"/>
      <c r="H57" s="13"/>
      <c r="I57" s="13"/>
      <c r="J57" s="13"/>
      <c r="K57" s="13"/>
      <c r="L57" s="13"/>
    </row>
    <row r="58" spans="2:12">
      <c r="B58" s="13"/>
      <c r="C58" s="405">
        <f>C46</f>
        <v>0.5</v>
      </c>
      <c r="D58" s="402">
        <f>D46</f>
        <v>1</v>
      </c>
      <c r="E58" s="351">
        <f>G19</f>
        <v>26.15625</v>
      </c>
      <c r="F58" s="235">
        <f>1/(1+$D$56)^D58</f>
        <v>0.97999075418625692</v>
      </c>
      <c r="G58" s="247">
        <f>E58*F58</f>
        <v>25.632883164184282</v>
      </c>
      <c r="I58" s="236">
        <f>1/(1+$D$56-$D$27)^$D58</f>
        <v>0.98008680178666197</v>
      </c>
      <c r="J58" s="236">
        <f>1/(1+$D$56+$D$27)^$D58</f>
        <v>0.97989472540915923</v>
      </c>
      <c r="K58" s="247">
        <f>E58*I58</f>
        <v>25.635395409232377</v>
      </c>
      <c r="L58" s="247">
        <f>E58*J58</f>
        <v>25.630371411483321</v>
      </c>
    </row>
    <row r="59" spans="2:12">
      <c r="B59" s="13"/>
      <c r="C59" s="406">
        <f t="shared" ref="C59:C62" si="8">C47</f>
        <v>1</v>
      </c>
      <c r="D59" s="403">
        <f t="shared" ref="D59:D62" si="9">D47</f>
        <v>2</v>
      </c>
      <c r="E59" s="352">
        <f>G20</f>
        <v>26.15625</v>
      </c>
      <c r="F59" s="22">
        <f>1/(1+$D$56)^D59</f>
        <v>0.96038187829054855</v>
      </c>
      <c r="G59" s="248">
        <f t="shared" ref="G59:G62" si="10">E59*F59</f>
        <v>25.11998850403716</v>
      </c>
      <c r="I59" s="17">
        <f>1/(1+$D$56-$D$27)^$D59</f>
        <v>0.96057013903640764</v>
      </c>
      <c r="J59" s="17">
        <f>1/(1+$D$56+$D$27)^$D59</f>
        <v>0.9601936728846916</v>
      </c>
      <c r="K59" s="248">
        <f>E59*I59</f>
        <v>25.124912699171038</v>
      </c>
      <c r="L59" s="248">
        <f>E59*J59</f>
        <v>25.115065756390216</v>
      </c>
    </row>
    <row r="60" spans="2:12">
      <c r="C60" s="406">
        <f t="shared" si="8"/>
        <v>1.5</v>
      </c>
      <c r="D60" s="403">
        <f t="shared" si="9"/>
        <v>3</v>
      </c>
      <c r="E60" s="352">
        <f>G21</f>
        <v>26.15625</v>
      </c>
      <c r="F60" s="22">
        <f>1/(1+$D$56)^D60</f>
        <v>0.94116536121276873</v>
      </c>
      <c r="G60" s="248">
        <f t="shared" si="10"/>
        <v>24.617356479221481</v>
      </c>
      <c r="I60" s="17">
        <f>1/(1+$D$56-$D$27)^$D60</f>
        <v>0.94144211545996204</v>
      </c>
      <c r="J60" s="17">
        <f>1/(1+$D$56+$D$27)^$D60</f>
        <v>0.94088871543095698</v>
      </c>
      <c r="K60" s="248">
        <f>E60*I60</f>
        <v>24.624595332499631</v>
      </c>
      <c r="L60" s="248">
        <f>E60*J60</f>
        <v>24.61012046299097</v>
      </c>
    </row>
    <row r="61" spans="2:12">
      <c r="B61" s="13"/>
      <c r="C61" s="406">
        <f t="shared" si="8"/>
        <v>2</v>
      </c>
      <c r="D61" s="403">
        <f t="shared" si="9"/>
        <v>4</v>
      </c>
      <c r="E61" s="352">
        <f>G22</f>
        <v>26.15625</v>
      </c>
      <c r="F61" s="22">
        <f>1/(1+$D$56)^D61</f>
        <v>0.92233335214888201</v>
      </c>
      <c r="G61" s="248">
        <f t="shared" si="10"/>
        <v>24.124781742144194</v>
      </c>
      <c r="I61" s="17">
        <f>1/(1+$D$56-$D$27)^$D61</f>
        <v>0.92269499200842331</v>
      </c>
      <c r="J61" s="17">
        <f>1/(1+$D$56+$D$27)^$D61</f>
        <v>0.92197188944779407</v>
      </c>
      <c r="K61" s="248">
        <f>E61*I61</f>
        <v>24.134240884720324</v>
      </c>
      <c r="L61" s="248">
        <f>E61*J61</f>
        <v>24.115327233368863</v>
      </c>
    </row>
    <row r="62" spans="2:12">
      <c r="B62" s="13"/>
      <c r="C62" s="407">
        <f t="shared" si="8"/>
        <v>2.5</v>
      </c>
      <c r="D62" s="404">
        <f t="shared" si="9"/>
        <v>5</v>
      </c>
      <c r="E62" s="352">
        <f>G23</f>
        <v>1151.15625</v>
      </c>
      <c r="F62" s="22">
        <f>1/(1+$D$56)^D62</f>
        <v>0.90387815738352129</v>
      </c>
      <c r="G62" s="249">
        <f t="shared" si="10"/>
        <v>1040.5049901105242</v>
      </c>
      <c r="I62" s="237">
        <f>1/(1+$D$56-$D$27)^$D62</f>
        <v>0.90432118374210524</v>
      </c>
      <c r="J62" s="237">
        <f>1/(1+$D$56+$D$27)^$D62</f>
        <v>0.90343539144540985</v>
      </c>
      <c r="K62" s="249">
        <f>E62*I62</f>
        <v>1041.0149826721229</v>
      </c>
      <c r="L62" s="249">
        <f>E62*J62</f>
        <v>1039.9952973335801</v>
      </c>
    </row>
    <row r="63" spans="2:12">
      <c r="C63" s="310" t="s">
        <v>4</v>
      </c>
      <c r="D63" s="353"/>
      <c r="E63" s="314"/>
      <c r="F63" s="315"/>
      <c r="G63" s="311">
        <f>SUM(G58:G62)</f>
        <v>1140.0000000001114</v>
      </c>
      <c r="I63" s="18"/>
      <c r="J63" s="18"/>
      <c r="K63" s="250">
        <f>SUM(K58:K62)</f>
        <v>1140.5341269977462</v>
      </c>
      <c r="L63" s="250">
        <f>SUM(L58:L62)</f>
        <v>1139.4661821978134</v>
      </c>
    </row>
    <row r="64" spans="2:12">
      <c r="B64" s="9" t="s">
        <v>323</v>
      </c>
      <c r="C64" s="383">
        <f>D64/2</f>
        <v>2.389802196109907</v>
      </c>
      <c r="D64" s="312">
        <f>SUMPRODUCT(D58:D62,G58:G62)/G63</f>
        <v>4.7796043922198139</v>
      </c>
      <c r="E64" s="251" t="s">
        <v>203</v>
      </c>
      <c r="K64" s="11" t="str">
        <f>K52</f>
        <v xml:space="preserve"> (13) Effective duration (semi-annual periods)</v>
      </c>
      <c r="L64" s="387">
        <f>-(L63-K63)/((D$27-(-D$27))*G63)</f>
        <v>4.6839684207573269</v>
      </c>
    </row>
    <row r="65" spans="1:12">
      <c r="B65" s="10" t="s">
        <v>390</v>
      </c>
      <c r="C65" s="386">
        <f>D65/2</f>
        <v>2.3419840565217207</v>
      </c>
      <c r="D65" s="312">
        <f>D64/(1+D56)</f>
        <v>4.6839681130434414</v>
      </c>
      <c r="E65" s="251" t="s">
        <v>203</v>
      </c>
      <c r="K65" s="11" t="str">
        <f>K53</f>
        <v xml:space="preserve"> (14) Effective duration (annual basis)</v>
      </c>
      <c r="L65" s="386">
        <f>L64/2</f>
        <v>2.3419842103786634</v>
      </c>
    </row>
    <row r="66" spans="1:12">
      <c r="B66" s="392" t="str">
        <f>B54</f>
        <v>(8) Excel Duration (comparison):</v>
      </c>
      <c r="C66" s="393">
        <f>DURATION(G$5,G$6,G$7,G$13*2,2,0)</f>
        <v>2.3898021961140739</v>
      </c>
      <c r="D66" s="20"/>
      <c r="E66" s="20"/>
      <c r="F66" s="20"/>
      <c r="I66" s="20"/>
      <c r="J66" s="20"/>
      <c r="K66" s="20"/>
      <c r="L66" s="20"/>
    </row>
    <row r="68" spans="1:12">
      <c r="B68" s="361" t="s">
        <v>350</v>
      </c>
    </row>
    <row r="69" spans="1:12">
      <c r="D69" s="3"/>
    </row>
    <row r="70" spans="1:12" ht="28.8">
      <c r="E70" s="85" t="s">
        <v>36</v>
      </c>
      <c r="F70" s="85" t="s">
        <v>2</v>
      </c>
      <c r="G70" s="85" t="s">
        <v>3</v>
      </c>
    </row>
    <row r="71" spans="1:12">
      <c r="D71" t="s">
        <v>37</v>
      </c>
      <c r="E71" s="347">
        <f>E$10</f>
        <v>1265</v>
      </c>
      <c r="F71" s="388">
        <f>C41</f>
        <v>0.98750219093506919</v>
      </c>
      <c r="G71" s="388">
        <f>L41</f>
        <v>0.98750221037338182</v>
      </c>
    </row>
    <row r="72" spans="1:12">
      <c r="D72" t="s">
        <v>292</v>
      </c>
      <c r="E72" s="347">
        <f>F$10</f>
        <v>2010</v>
      </c>
      <c r="F72" s="388">
        <f>C53</f>
        <v>1.4419659876664568</v>
      </c>
      <c r="G72" s="388">
        <f>L53</f>
        <v>1.4419660341759544</v>
      </c>
    </row>
    <row r="73" spans="1:12">
      <c r="D73" s="15" t="s">
        <v>39</v>
      </c>
      <c r="E73" s="348">
        <f>G$10</f>
        <v>1140</v>
      </c>
      <c r="F73" s="389">
        <f>C65</f>
        <v>2.3419840565217207</v>
      </c>
      <c r="G73" s="389">
        <f>L65</f>
        <v>2.3419842103786634</v>
      </c>
    </row>
    <row r="74" spans="1:12">
      <c r="D74" t="s">
        <v>4</v>
      </c>
      <c r="E74" s="349">
        <f>SUM(E71:E73)</f>
        <v>4415</v>
      </c>
      <c r="F74" s="390">
        <f>SUMPRODUCT(E71:E73,F71:F73)/E74</f>
        <v>1.5441458054761501</v>
      </c>
      <c r="G74" s="391">
        <f>SUMPRODUCT(E71:E73,G71:G73)/E74</f>
        <v>1.5441458719473777</v>
      </c>
    </row>
    <row r="75" spans="1:12">
      <c r="E75" s="251"/>
    </row>
    <row r="77" spans="1:12">
      <c r="A77" s="47">
        <v>-4</v>
      </c>
      <c r="B77" s="23" t="s">
        <v>370</v>
      </c>
      <c r="I77" s="47">
        <v>-10</v>
      </c>
      <c r="J77" s="24" t="s">
        <v>374</v>
      </c>
    </row>
    <row r="78" spans="1:12">
      <c r="A78" s="47">
        <f>A77-1</f>
        <v>-5</v>
      </c>
      <c r="B78" s="25" t="s">
        <v>378</v>
      </c>
      <c r="C78" s="20"/>
      <c r="D78" s="20"/>
      <c r="E78" s="20"/>
      <c r="F78" s="20"/>
      <c r="I78" s="47">
        <f>I77-1</f>
        <v>-11</v>
      </c>
      <c r="J78" s="24" t="s">
        <v>379</v>
      </c>
    </row>
    <row r="79" spans="1:12">
      <c r="A79" s="47">
        <f t="shared" ref="A79:A82" si="11">A78-1</f>
        <v>-6</v>
      </c>
      <c r="B79" s="24" t="s">
        <v>393</v>
      </c>
      <c r="C79" s="20"/>
      <c r="D79" s="20"/>
      <c r="E79" s="20"/>
      <c r="F79" s="20"/>
      <c r="I79" s="47">
        <f t="shared" ref="I79:I81" si="12">I78-1</f>
        <v>-12</v>
      </c>
      <c r="J79" s="24" t="s">
        <v>380</v>
      </c>
    </row>
    <row r="80" spans="1:12">
      <c r="A80" s="47">
        <f t="shared" si="11"/>
        <v>-7</v>
      </c>
      <c r="B80" s="24" t="s">
        <v>394</v>
      </c>
      <c r="C80" s="20"/>
      <c r="D80" s="20"/>
      <c r="E80" s="20"/>
      <c r="F80" s="20"/>
      <c r="I80" s="47">
        <f t="shared" si="12"/>
        <v>-13</v>
      </c>
      <c r="J80" s="24" t="s">
        <v>381</v>
      </c>
    </row>
    <row r="81" spans="1:10">
      <c r="A81" s="47">
        <f t="shared" si="11"/>
        <v>-8</v>
      </c>
      <c r="B81" s="24" t="s">
        <v>392</v>
      </c>
      <c r="C81" s="20"/>
      <c r="D81" s="20"/>
      <c r="E81" s="20"/>
      <c r="F81" s="20"/>
      <c r="I81" s="47">
        <f t="shared" si="12"/>
        <v>-14</v>
      </c>
      <c r="J81" s="24" t="s">
        <v>375</v>
      </c>
    </row>
    <row r="82" spans="1:10">
      <c r="A82" s="47">
        <f t="shared" si="11"/>
        <v>-9</v>
      </c>
      <c r="B82" s="24" t="s">
        <v>372</v>
      </c>
      <c r="C82" s="20"/>
      <c r="D82" s="20"/>
      <c r="E82" s="20"/>
      <c r="F82" s="20"/>
      <c r="I82" s="20"/>
    </row>
  </sheetData>
  <printOptions horizontalCentered="1"/>
  <pageMargins left="0.59055118110236204" right="0.39370078740157499" top="0.59055118110236204" bottom="0.74803149606299202" header="0.31496062992126" footer="0.31496062992126"/>
  <pageSetup scale="56" orientation="portrait" verticalDpi="599" r:id="rId1"/>
  <headerFooter>
    <oddHeader>&amp;C&amp;G</oddHeader>
  </headerFooter>
  <ignoredErrors>
    <ignoredError sqref="D35:D38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3"/>
  <sheetViews>
    <sheetView view="pageLayout" zoomScaleNormal="75" zoomScaleSheetLayoutView="75" workbookViewId="0">
      <selection activeCell="H5" sqref="H5"/>
    </sheetView>
  </sheetViews>
  <sheetFormatPr defaultColWidth="9.109375" defaultRowHeight="14.4"/>
  <cols>
    <col min="1" max="1" width="4.6640625" customWidth="1"/>
    <col min="2" max="2" width="13.88671875" customWidth="1"/>
    <col min="3" max="5" width="11.6640625" customWidth="1"/>
    <col min="6" max="6" width="12.109375" customWidth="1"/>
    <col min="7" max="7" width="12.6640625" customWidth="1"/>
    <col min="8" max="8" width="12.109375" customWidth="1"/>
    <col min="9" max="9" width="11.6640625" customWidth="1"/>
    <col min="10" max="11" width="13.6640625" customWidth="1"/>
    <col min="12" max="12" width="3.109375" customWidth="1"/>
    <col min="13" max="21" width="11.6640625" customWidth="1"/>
  </cols>
  <sheetData>
    <row r="1" spans="2:12" ht="18">
      <c r="B1" s="4" t="s">
        <v>293</v>
      </c>
      <c r="K1" s="82" t="s">
        <v>54</v>
      </c>
      <c r="L1" s="83" t="s">
        <v>291</v>
      </c>
    </row>
    <row r="2" spans="2:12" ht="18">
      <c r="K2" s="82" t="s">
        <v>55</v>
      </c>
      <c r="L2" s="83">
        <v>2</v>
      </c>
    </row>
    <row r="3" spans="2:12">
      <c r="B3" s="3" t="s">
        <v>6</v>
      </c>
      <c r="I3" s="20"/>
      <c r="J3" s="20"/>
    </row>
    <row r="5" spans="2:12">
      <c r="B5" s="106" t="s">
        <v>295</v>
      </c>
      <c r="F5" s="3" t="s">
        <v>354</v>
      </c>
    </row>
    <row r="6" spans="2:12" s="5" customFormat="1">
      <c r="B6" s="5" t="s">
        <v>10</v>
      </c>
      <c r="C6" s="241" t="s">
        <v>11</v>
      </c>
      <c r="D6" s="241" t="s">
        <v>12</v>
      </c>
      <c r="F6" s="5" t="s">
        <v>9</v>
      </c>
      <c r="G6" s="241" t="s">
        <v>11</v>
      </c>
      <c r="H6" s="241" t="s">
        <v>12</v>
      </c>
    </row>
    <row r="7" spans="2:12">
      <c r="B7" s="20">
        <v>2011</v>
      </c>
      <c r="C7" s="289">
        <v>0</v>
      </c>
      <c r="D7" s="289">
        <v>32</v>
      </c>
      <c r="F7">
        <v>12</v>
      </c>
      <c r="G7" s="6">
        <v>0.8</v>
      </c>
      <c r="H7" s="6">
        <v>0.35</v>
      </c>
    </row>
    <row r="8" spans="2:12">
      <c r="B8" s="20">
        <f>B7+1</f>
        <v>2012</v>
      </c>
      <c r="C8" s="289">
        <v>0</v>
      </c>
      <c r="D8" s="289">
        <v>86</v>
      </c>
      <c r="F8">
        <f>F7+12</f>
        <v>24</v>
      </c>
      <c r="G8" s="6">
        <v>0.95</v>
      </c>
      <c r="H8" s="6">
        <v>0.68</v>
      </c>
    </row>
    <row r="9" spans="2:12">
      <c r="B9" s="20">
        <f t="shared" ref="B9:B11" si="0">B8+1</f>
        <v>2013</v>
      </c>
      <c r="C9" s="289">
        <v>0</v>
      </c>
      <c r="D9" s="289">
        <v>127</v>
      </c>
      <c r="F9">
        <f t="shared" ref="F9:F14" si="1">F8+12</f>
        <v>36</v>
      </c>
      <c r="G9" s="6">
        <v>1</v>
      </c>
      <c r="H9" s="6">
        <v>0.8</v>
      </c>
    </row>
    <row r="10" spans="2:12">
      <c r="B10" s="20">
        <f t="shared" si="0"/>
        <v>2014</v>
      </c>
      <c r="C10" s="289">
        <v>16</v>
      </c>
      <c r="D10" s="289">
        <v>186</v>
      </c>
      <c r="F10">
        <f t="shared" si="1"/>
        <v>48</v>
      </c>
      <c r="G10" s="6">
        <v>1</v>
      </c>
      <c r="H10" s="6">
        <v>0.85</v>
      </c>
    </row>
    <row r="11" spans="2:12">
      <c r="B11" s="20">
        <f t="shared" si="0"/>
        <v>2015</v>
      </c>
      <c r="C11" s="289">
        <v>137</v>
      </c>
      <c r="D11" s="289">
        <v>258</v>
      </c>
      <c r="F11">
        <f t="shared" si="1"/>
        <v>60</v>
      </c>
      <c r="G11" s="6">
        <v>1</v>
      </c>
      <c r="H11" s="6">
        <v>0.9</v>
      </c>
    </row>
    <row r="12" spans="2:12">
      <c r="F12">
        <f t="shared" si="1"/>
        <v>72</v>
      </c>
      <c r="G12" s="6">
        <v>1</v>
      </c>
      <c r="H12" s="6">
        <v>0.95</v>
      </c>
    </row>
    <row r="13" spans="2:12">
      <c r="F13">
        <f t="shared" si="1"/>
        <v>84</v>
      </c>
      <c r="G13" s="6">
        <v>1</v>
      </c>
      <c r="H13" s="6">
        <v>0.99</v>
      </c>
    </row>
    <row r="14" spans="2:12">
      <c r="F14">
        <f t="shared" si="1"/>
        <v>96</v>
      </c>
      <c r="G14" s="6">
        <v>1</v>
      </c>
      <c r="H14" s="6">
        <v>1</v>
      </c>
    </row>
    <row r="15" spans="2:12">
      <c r="G15" s="6"/>
      <c r="H15" s="6"/>
    </row>
    <row r="16" spans="2:12">
      <c r="B16" s="105" t="s">
        <v>344</v>
      </c>
      <c r="C16" s="288">
        <v>1.7500000000000002E-2</v>
      </c>
      <c r="G16" s="6"/>
      <c r="H16" s="6"/>
    </row>
    <row r="17" spans="2:10">
      <c r="B17" s="105" t="s">
        <v>342</v>
      </c>
      <c r="C17" s="287">
        <v>1E-3</v>
      </c>
      <c r="G17" s="6"/>
      <c r="H17" s="6"/>
    </row>
    <row r="18" spans="2:10">
      <c r="B18" t="s">
        <v>284</v>
      </c>
      <c r="E18">
        <v>550</v>
      </c>
      <c r="G18" t="s">
        <v>351</v>
      </c>
      <c r="H18" s="6"/>
      <c r="I18" s="6"/>
      <c r="J18" s="73">
        <v>0.65</v>
      </c>
    </row>
    <row r="19" spans="2:10">
      <c r="B19" t="s">
        <v>285</v>
      </c>
      <c r="E19">
        <v>380</v>
      </c>
      <c r="G19" t="s">
        <v>352</v>
      </c>
      <c r="H19" s="6"/>
      <c r="I19" s="6"/>
      <c r="J19" s="73">
        <v>0.8</v>
      </c>
    </row>
    <row r="20" spans="2:10">
      <c r="B20" t="s">
        <v>286</v>
      </c>
      <c r="E20" s="2">
        <v>3.5000000000000003E-2</v>
      </c>
      <c r="H20" s="6"/>
      <c r="I20" s="6"/>
    </row>
    <row r="21" spans="2:10">
      <c r="B21" t="s">
        <v>283</v>
      </c>
    </row>
    <row r="23" spans="2:10">
      <c r="B23" s="3" t="s">
        <v>27</v>
      </c>
    </row>
    <row r="24" spans="2:10">
      <c r="B24" s="12" t="s">
        <v>11</v>
      </c>
    </row>
    <row r="25" spans="2:10">
      <c r="D25" s="408" t="s">
        <v>13</v>
      </c>
      <c r="E25" s="408"/>
      <c r="F25" s="408"/>
      <c r="G25" s="408"/>
      <c r="H25" s="408"/>
      <c r="I25" s="408"/>
      <c r="J25" s="408"/>
    </row>
    <row r="26" spans="2:10">
      <c r="B26" s="5" t="s">
        <v>10</v>
      </c>
      <c r="C26" s="26" t="s">
        <v>7</v>
      </c>
      <c r="D26" s="20">
        <f>B31+1</f>
        <v>2016</v>
      </c>
      <c r="E26" s="20">
        <f>D26+1</f>
        <v>2017</v>
      </c>
      <c r="F26" s="20">
        <f t="shared" ref="F26:J26" si="2">E26+1</f>
        <v>2018</v>
      </c>
      <c r="G26" s="20">
        <f t="shared" si="2"/>
        <v>2019</v>
      </c>
      <c r="H26" s="20">
        <f t="shared" si="2"/>
        <v>2020</v>
      </c>
      <c r="I26" s="20">
        <f t="shared" si="2"/>
        <v>2021</v>
      </c>
      <c r="J26" s="20">
        <f t="shared" si="2"/>
        <v>2022</v>
      </c>
    </row>
    <row r="27" spans="2:10">
      <c r="B27" s="27">
        <f t="shared" ref="B27:C31" si="3">B7</f>
        <v>2011</v>
      </c>
      <c r="C27" s="251">
        <f t="shared" si="3"/>
        <v>0</v>
      </c>
      <c r="D27" s="251"/>
      <c r="E27" s="251"/>
      <c r="F27" s="251"/>
      <c r="G27" s="251"/>
      <c r="H27" s="251"/>
      <c r="I27" s="251"/>
      <c r="J27" s="251"/>
    </row>
    <row r="28" spans="2:10">
      <c r="B28" s="27">
        <f t="shared" si="3"/>
        <v>2012</v>
      </c>
      <c r="C28" s="251">
        <f t="shared" si="3"/>
        <v>0</v>
      </c>
      <c r="D28" s="251"/>
      <c r="E28" s="251"/>
      <c r="F28" s="251"/>
      <c r="G28" s="251"/>
      <c r="H28" s="251"/>
      <c r="I28" s="251"/>
      <c r="J28" s="251"/>
    </row>
    <row r="29" spans="2:10">
      <c r="B29" s="27">
        <f t="shared" si="3"/>
        <v>2013</v>
      </c>
      <c r="C29" s="251">
        <f t="shared" si="3"/>
        <v>0</v>
      </c>
      <c r="D29" s="251"/>
      <c r="E29" s="251"/>
      <c r="F29" s="251"/>
      <c r="G29" s="251"/>
      <c r="H29" s="251"/>
      <c r="I29" s="251"/>
      <c r="J29" s="251"/>
    </row>
    <row r="30" spans="2:10">
      <c r="B30" s="27">
        <f t="shared" si="3"/>
        <v>2014</v>
      </c>
      <c r="C30" s="251">
        <f t="shared" si="3"/>
        <v>16</v>
      </c>
      <c r="D30" s="251">
        <f>$C30/(1-$G$8)*($G$9-$G$8)</f>
        <v>16</v>
      </c>
      <c r="E30" s="251">
        <f>$C30/(1-$G$8)*($G$10-$G$9)</f>
        <v>0</v>
      </c>
      <c r="F30" s="251">
        <f>$C30/(1-$G$8)*($G$11-$G$10)</f>
        <v>0</v>
      </c>
      <c r="G30" s="251">
        <f>$C30/(1-$G$8)*($G$12-$G$11)</f>
        <v>0</v>
      </c>
      <c r="H30" s="251">
        <f>$C30/(1-$G$8)*($G$13-$G$12)</f>
        <v>0</v>
      </c>
      <c r="I30" s="251">
        <f>$C30/(1-$G$8)*($G$14-$G$13)</f>
        <v>0</v>
      </c>
      <c r="J30" s="251"/>
    </row>
    <row r="31" spans="2:10">
      <c r="B31" s="28">
        <f t="shared" si="3"/>
        <v>2015</v>
      </c>
      <c r="C31" s="319">
        <f t="shared" si="3"/>
        <v>137</v>
      </c>
      <c r="D31" s="319">
        <f>$C31/(1-$G$7)*($G$8-$G$7)</f>
        <v>102.74999999999996</v>
      </c>
      <c r="E31" s="319">
        <f>$C31/(1-$G$7)*($G$9-$G$8)</f>
        <v>34.250000000000036</v>
      </c>
      <c r="F31" s="319">
        <f>$C31/(1-$G$7)*($G$10-$G$9)</f>
        <v>0</v>
      </c>
      <c r="G31" s="319">
        <f>$C31/(1-$G$7)*($G$11-$G$10)</f>
        <v>0</v>
      </c>
      <c r="H31" s="319">
        <f>$C31/(1-$G$7)*($G$12-$G$11)</f>
        <v>0</v>
      </c>
      <c r="I31" s="319">
        <f>$C31/(1-$G$7)*($G$13-$G$12)</f>
        <v>0</v>
      </c>
      <c r="J31" s="319">
        <f>$C31/(1-$G$7)*($G$14-$G$13)</f>
        <v>0</v>
      </c>
    </row>
    <row r="32" spans="2:10">
      <c r="B32" s="13" t="s">
        <v>4</v>
      </c>
      <c r="C32" s="251">
        <f>SUM(C27:C31)</f>
        <v>153</v>
      </c>
      <c r="D32" s="251">
        <f t="shared" ref="D32:J32" si="4">SUM(D27:D31)</f>
        <v>118.74999999999996</v>
      </c>
      <c r="E32" s="251">
        <f t="shared" si="4"/>
        <v>34.250000000000036</v>
      </c>
      <c r="F32" s="251">
        <f t="shared" si="4"/>
        <v>0</v>
      </c>
      <c r="G32" s="251">
        <f t="shared" si="4"/>
        <v>0</v>
      </c>
      <c r="H32" s="251">
        <f t="shared" si="4"/>
        <v>0</v>
      </c>
      <c r="I32" s="251">
        <f t="shared" si="4"/>
        <v>0</v>
      </c>
      <c r="J32" s="251">
        <f t="shared" si="4"/>
        <v>0</v>
      </c>
    </row>
    <row r="34" spans="2:10">
      <c r="B34" s="20" t="s">
        <v>114</v>
      </c>
      <c r="C34" s="20"/>
      <c r="D34" s="20"/>
      <c r="E34" s="20"/>
    </row>
    <row r="35" spans="2:10">
      <c r="B35" s="20" t="s">
        <v>115</v>
      </c>
      <c r="C35" s="20"/>
      <c r="D35" s="20"/>
      <c r="E35" s="20"/>
    </row>
    <row r="36" spans="2:10">
      <c r="B36" s="20" t="s">
        <v>116</v>
      </c>
      <c r="C36" s="20"/>
      <c r="D36" s="20"/>
      <c r="E36" s="20"/>
    </row>
    <row r="38" spans="2:10">
      <c r="B38" s="12" t="s">
        <v>12</v>
      </c>
    </row>
    <row r="39" spans="2:10">
      <c r="D39" s="408" t="s">
        <v>13</v>
      </c>
      <c r="E39" s="408"/>
      <c r="F39" s="408"/>
      <c r="G39" s="408"/>
      <c r="H39" s="408"/>
      <c r="I39" s="408"/>
      <c r="J39" s="408"/>
    </row>
    <row r="40" spans="2:10">
      <c r="B40" s="26" t="s">
        <v>10</v>
      </c>
      <c r="C40" s="26" t="s">
        <v>7</v>
      </c>
      <c r="D40" s="20">
        <f>B45+1</f>
        <v>2016</v>
      </c>
      <c r="E40" s="20">
        <f>D40+1</f>
        <v>2017</v>
      </c>
      <c r="F40" s="20">
        <f t="shared" ref="F40:J40" si="5">E40+1</f>
        <v>2018</v>
      </c>
      <c r="G40" s="20">
        <f t="shared" si="5"/>
        <v>2019</v>
      </c>
      <c r="H40" s="20">
        <f t="shared" si="5"/>
        <v>2020</v>
      </c>
      <c r="I40" s="20">
        <f t="shared" si="5"/>
        <v>2021</v>
      </c>
      <c r="J40" s="20">
        <f t="shared" si="5"/>
        <v>2022</v>
      </c>
    </row>
    <row r="41" spans="2:10">
      <c r="B41" s="27">
        <f>B7</f>
        <v>2011</v>
      </c>
      <c r="C41" s="251">
        <f>D7</f>
        <v>32</v>
      </c>
      <c r="D41" s="251">
        <f>$C41/(1-$H$11)*($H$12-$H$11)</f>
        <v>15.999999999999982</v>
      </c>
      <c r="E41" s="251">
        <f>$C41/(1-$H$11)*($H$13-$H$12)</f>
        <v>12.800000000000013</v>
      </c>
      <c r="F41" s="251">
        <f>$C41/(1-$H$11)*($H$14-$H$13)</f>
        <v>3.2000000000000033</v>
      </c>
      <c r="G41" s="251"/>
      <c r="H41" s="251"/>
      <c r="I41" s="251"/>
      <c r="J41" s="251"/>
    </row>
    <row r="42" spans="2:10">
      <c r="B42" s="27">
        <f>B8</f>
        <v>2012</v>
      </c>
      <c r="C42" s="251">
        <f>D8</f>
        <v>86</v>
      </c>
      <c r="D42" s="251">
        <f>$C42/(1-$H$10)*($H$11-$H$10)</f>
        <v>28.666666666666689</v>
      </c>
      <c r="E42" s="251">
        <f>$C42/(1-$H$10)*($H$12-$H$11)</f>
        <v>28.666666666666625</v>
      </c>
      <c r="F42" s="251">
        <f>$C42/(1-$H$10)*($H$13-$H$12)</f>
        <v>22.933333333333351</v>
      </c>
      <c r="G42" s="251">
        <f>$C42/(1-$H$10)*($H$14-$H$13)</f>
        <v>5.7333333333333378</v>
      </c>
      <c r="H42" s="251"/>
      <c r="I42" s="251"/>
      <c r="J42" s="251"/>
    </row>
    <row r="43" spans="2:10">
      <c r="B43" s="27">
        <f>B9</f>
        <v>2013</v>
      </c>
      <c r="C43" s="251">
        <f>D9</f>
        <v>127</v>
      </c>
      <c r="D43" s="251">
        <f>$C43/(1-$H$9)*($H$10-$H$9)</f>
        <v>31.749999999999964</v>
      </c>
      <c r="E43" s="251">
        <f>$C43/(1-$H$9)*($H$11-$H$10)</f>
        <v>31.750000000000036</v>
      </c>
      <c r="F43" s="251">
        <f>$C43/(1-$H$9)*($H$12-$H$11)</f>
        <v>31.749999999999964</v>
      </c>
      <c r="G43" s="251">
        <f>$C43/(1-$H$9)*($H$13-$H$12)</f>
        <v>25.400000000000027</v>
      </c>
      <c r="H43" s="251">
        <f>$C43/(1-$H$9)*($H$14-$H$13)</f>
        <v>6.3500000000000068</v>
      </c>
      <c r="I43" s="251"/>
      <c r="J43" s="251"/>
    </row>
    <row r="44" spans="2:10">
      <c r="B44" s="27">
        <f>B10</f>
        <v>2014</v>
      </c>
      <c r="C44" s="251">
        <f>D10</f>
        <v>186</v>
      </c>
      <c r="D44" s="251">
        <f>$C44/(1-$H$8)*($H$9-$H$8)</f>
        <v>69.750000000000014</v>
      </c>
      <c r="E44" s="251">
        <f>$C44/(1-$H$8)*($H$10-$H$9)</f>
        <v>29.062499999999968</v>
      </c>
      <c r="F44" s="251">
        <f>$C44/(1-$H$8)*($H$11-$H$10)</f>
        <v>29.062500000000032</v>
      </c>
      <c r="G44" s="251">
        <f>$C44/(1-$H$8)*($H$12-$H$11)</f>
        <v>29.062499999999968</v>
      </c>
      <c r="H44" s="251">
        <f>$C44/(1-$H$8)*($H$13-$H$12)</f>
        <v>23.250000000000025</v>
      </c>
      <c r="I44" s="251">
        <f>$C44/(1-$H$8)*($H$14-$H$13)</f>
        <v>5.8125000000000062</v>
      </c>
      <c r="J44" s="251"/>
    </row>
    <row r="45" spans="2:10">
      <c r="B45" s="28">
        <f>B11</f>
        <v>2015</v>
      </c>
      <c r="C45" s="319">
        <f>D11</f>
        <v>258</v>
      </c>
      <c r="D45" s="319">
        <f>$C45/(1-$H$7)*($H$8-$H$7)</f>
        <v>130.98461538461541</v>
      </c>
      <c r="E45" s="319">
        <f>$C45/(1-$H$7)*($H$9-$H$8)</f>
        <v>47.630769230769225</v>
      </c>
      <c r="F45" s="319">
        <f>$C45/(1-$H$7)*($H$10-$H$9)</f>
        <v>19.846153846153818</v>
      </c>
      <c r="G45" s="319">
        <f>$C45/(1-$H$7)*($H$11-$H$10)</f>
        <v>19.846153846153864</v>
      </c>
      <c r="H45" s="319">
        <f>$C45/(1-$H$7)*($H$12-$H$11)</f>
        <v>19.846153846153818</v>
      </c>
      <c r="I45" s="319">
        <f>$C45/(1-$H$7)*($H$13-$H$12)</f>
        <v>15.87692307692309</v>
      </c>
      <c r="J45" s="319">
        <f>$C45/(1-$H$7)*($H$14-$H$13)</f>
        <v>3.9692307692307724</v>
      </c>
    </row>
    <row r="46" spans="2:10">
      <c r="B46" s="13" t="s">
        <v>4</v>
      </c>
      <c r="C46" s="251">
        <f>SUM(C41:C45)</f>
        <v>689</v>
      </c>
      <c r="D46" s="251">
        <f t="shared" ref="D46:J46" si="6">SUM(D41:D45)</f>
        <v>277.15128205128201</v>
      </c>
      <c r="E46" s="251">
        <f t="shared" si="6"/>
        <v>149.90993589743587</v>
      </c>
      <c r="F46" s="251">
        <f t="shared" si="6"/>
        <v>106.79198717948717</v>
      </c>
      <c r="G46" s="251">
        <f t="shared" si="6"/>
        <v>80.041987179487194</v>
      </c>
      <c r="H46" s="251">
        <f t="shared" si="6"/>
        <v>49.446153846153848</v>
      </c>
      <c r="I46" s="251">
        <f t="shared" si="6"/>
        <v>21.689423076923095</v>
      </c>
      <c r="J46" s="251">
        <f t="shared" si="6"/>
        <v>3.9692307692307724</v>
      </c>
    </row>
    <row r="48" spans="2:10">
      <c r="B48" s="20" t="s">
        <v>117</v>
      </c>
      <c r="C48" s="20"/>
      <c r="D48" s="20"/>
      <c r="E48" s="20"/>
    </row>
    <row r="49" spans="2:12">
      <c r="B49" s="20" t="s">
        <v>118</v>
      </c>
      <c r="C49" s="20"/>
      <c r="D49" s="20"/>
      <c r="E49" s="20"/>
    </row>
    <row r="50" spans="2:12">
      <c r="B50" s="20" t="s">
        <v>119</v>
      </c>
      <c r="C50" s="20"/>
      <c r="D50" s="20"/>
      <c r="E50" s="20"/>
    </row>
    <row r="51" spans="2:12">
      <c r="B51" t="s">
        <v>14</v>
      </c>
    </row>
    <row r="52" spans="2:12" ht="18">
      <c r="K52" s="82" t="s">
        <v>55</v>
      </c>
      <c r="L52" s="83">
        <v>3</v>
      </c>
    </row>
    <row r="53" spans="2:12" ht="18">
      <c r="B53" s="3" t="s">
        <v>15</v>
      </c>
      <c r="J53" s="82"/>
      <c r="K53" s="83"/>
    </row>
    <row r="54" spans="2:12" ht="18">
      <c r="J54" s="82"/>
      <c r="K54" s="83"/>
    </row>
    <row r="55" spans="2:12"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7" spans="2:12" ht="43.2">
      <c r="B57" s="233" t="s">
        <v>5</v>
      </c>
      <c r="C57" s="233" t="s">
        <v>324</v>
      </c>
      <c r="D57" s="233" t="s">
        <v>8</v>
      </c>
      <c r="E57" s="233" t="str">
        <f>'App A Sh1'!F29</f>
        <v>Present Value Factor</v>
      </c>
      <c r="F57" s="233" t="s">
        <v>16</v>
      </c>
      <c r="H57" s="233" t="s">
        <v>304</v>
      </c>
      <c r="I57" s="233" t="s">
        <v>305</v>
      </c>
      <c r="J57" s="233" t="s">
        <v>306</v>
      </c>
      <c r="K57" s="233" t="s">
        <v>307</v>
      </c>
    </row>
    <row r="58" spans="2:12">
      <c r="B58" s="234" t="s">
        <v>17</v>
      </c>
      <c r="C58" s="234" t="s">
        <v>18</v>
      </c>
      <c r="D58" s="234" t="s">
        <v>19</v>
      </c>
      <c r="E58" s="234" t="s">
        <v>20</v>
      </c>
      <c r="F58" s="234" t="s">
        <v>21</v>
      </c>
      <c r="H58" s="234" t="s">
        <v>229</v>
      </c>
      <c r="I58" s="234" t="s">
        <v>23</v>
      </c>
      <c r="J58" s="234" t="s">
        <v>24</v>
      </c>
      <c r="K58" s="234" t="s">
        <v>25</v>
      </c>
    </row>
    <row r="60" spans="2:12">
      <c r="B60" s="12" t="s">
        <v>11</v>
      </c>
    </row>
    <row r="61" spans="2:12">
      <c r="B61" s="238">
        <v>2016</v>
      </c>
      <c r="C61" s="285">
        <f>B61-2015.5</f>
        <v>0.5</v>
      </c>
      <c r="D61" s="247">
        <f>D$32</f>
        <v>118.74999999999996</v>
      </c>
      <c r="E61" s="236">
        <f t="shared" ref="E61:E67" si="7">1/(1+$C$16)^C61</f>
        <v>0.99136319419321939</v>
      </c>
      <c r="F61" s="247">
        <f>D61*E61</f>
        <v>117.72437931044476</v>
      </c>
      <c r="H61" s="236">
        <f>1/(1+$C$16-$C$17)^$C61</f>
        <v>0.99185070993165747</v>
      </c>
      <c r="I61" s="236">
        <f t="shared" ref="I61:I67" si="8">1/(1+$C$16+$C$17)^$C61</f>
        <v>0.99087639662191229</v>
      </c>
      <c r="J61" s="247">
        <f t="shared" ref="J61:J67" si="9">D61*H61</f>
        <v>117.78227180438428</v>
      </c>
      <c r="K61" s="247">
        <f t="shared" ref="K61:K67" si="10">D61*I61</f>
        <v>117.66657209885204</v>
      </c>
    </row>
    <row r="62" spans="2:12">
      <c r="B62" s="29">
        <f>B61+1</f>
        <v>2017</v>
      </c>
      <c r="C62" s="284">
        <f t="shared" ref="C62:C67" si="11">B62-2015.5</f>
        <v>1.5</v>
      </c>
      <c r="D62" s="248">
        <f>E$32</f>
        <v>34.250000000000036</v>
      </c>
      <c r="E62" s="17">
        <f t="shared" si="7"/>
        <v>0.9743127215658175</v>
      </c>
      <c r="F62" s="248">
        <f t="shared" ref="F62:F67" si="12">D62*E62</f>
        <v>33.370210713629284</v>
      </c>
      <c r="H62" s="17">
        <f t="shared" ref="H62:H67" si="13">1/(1+$C$16-$C$17)^C62</f>
        <v>0.97575082137890534</v>
      </c>
      <c r="I62" s="17">
        <f t="shared" si="8"/>
        <v>0.97287815083152895</v>
      </c>
      <c r="J62" s="248">
        <f t="shared" si="9"/>
        <v>33.419465632227542</v>
      </c>
      <c r="K62" s="248">
        <f t="shared" si="10"/>
        <v>33.321076665979902</v>
      </c>
    </row>
    <row r="63" spans="2:12">
      <c r="B63" s="29">
        <f t="shared" ref="B63:B67" si="14">B62+1</f>
        <v>2018</v>
      </c>
      <c r="C63" s="284">
        <f t="shared" si="11"/>
        <v>2.5</v>
      </c>
      <c r="D63" s="248">
        <f>F$32</f>
        <v>0</v>
      </c>
      <c r="E63" s="17">
        <f t="shared" si="7"/>
        <v>0.95755550031038561</v>
      </c>
      <c r="F63" s="248">
        <f t="shared" si="12"/>
        <v>0</v>
      </c>
      <c r="H63" s="17">
        <f t="shared" si="13"/>
        <v>0.9599122689413726</v>
      </c>
      <c r="I63" s="17">
        <f t="shared" si="8"/>
        <v>0.95520682457685713</v>
      </c>
      <c r="J63" s="248">
        <f t="shared" si="9"/>
        <v>0</v>
      </c>
      <c r="K63" s="248">
        <f t="shared" si="10"/>
        <v>0</v>
      </c>
    </row>
    <row r="64" spans="2:12">
      <c r="B64" s="29">
        <f t="shared" si="14"/>
        <v>2019</v>
      </c>
      <c r="C64" s="284">
        <f t="shared" si="11"/>
        <v>3.5</v>
      </c>
      <c r="D64" s="248">
        <f>G$32</f>
        <v>0</v>
      </c>
      <c r="E64" s="17">
        <f t="shared" si="7"/>
        <v>0.94108648679153384</v>
      </c>
      <c r="F64" s="248">
        <f t="shared" si="12"/>
        <v>0</v>
      </c>
      <c r="H64" s="17">
        <f t="shared" si="13"/>
        <v>0.94433081056701662</v>
      </c>
      <c r="I64" s="17">
        <f t="shared" si="8"/>
        <v>0.93785647970236352</v>
      </c>
      <c r="J64" s="248">
        <f t="shared" si="9"/>
        <v>0</v>
      </c>
      <c r="K64" s="248">
        <f t="shared" si="10"/>
        <v>0</v>
      </c>
    </row>
    <row r="65" spans="2:11">
      <c r="B65" s="29">
        <f t="shared" si="14"/>
        <v>2020</v>
      </c>
      <c r="C65" s="284">
        <f t="shared" si="11"/>
        <v>4.5</v>
      </c>
      <c r="D65" s="248">
        <f>H$32</f>
        <v>0</v>
      </c>
      <c r="E65" s="17">
        <f t="shared" si="7"/>
        <v>0.92490072411944346</v>
      </c>
      <c r="F65" s="248">
        <f t="shared" si="12"/>
        <v>0</v>
      </c>
      <c r="H65" s="17">
        <f t="shared" si="13"/>
        <v>0.92900227306150163</v>
      </c>
      <c r="I65" s="17">
        <f t="shared" si="8"/>
        <v>0.92082128591297363</v>
      </c>
      <c r="J65" s="248">
        <f t="shared" si="9"/>
        <v>0</v>
      </c>
      <c r="K65" s="248">
        <f t="shared" si="10"/>
        <v>0</v>
      </c>
    </row>
    <row r="66" spans="2:11">
      <c r="B66" s="29">
        <f t="shared" si="14"/>
        <v>2021</v>
      </c>
      <c r="C66" s="284">
        <f t="shared" si="11"/>
        <v>5.5</v>
      </c>
      <c r="D66" s="248">
        <f>I$32</f>
        <v>0</v>
      </c>
      <c r="E66" s="17">
        <f t="shared" si="7"/>
        <v>0.90899334065792947</v>
      </c>
      <c r="F66" s="248">
        <f t="shared" si="12"/>
        <v>0</v>
      </c>
      <c r="H66" s="17">
        <f t="shared" si="13"/>
        <v>0.91392255097048847</v>
      </c>
      <c r="I66" s="17">
        <f t="shared" si="8"/>
        <v>0.90409551881489802</v>
      </c>
      <c r="J66" s="248">
        <f t="shared" si="9"/>
        <v>0</v>
      </c>
      <c r="K66" s="248">
        <f t="shared" si="10"/>
        <v>0</v>
      </c>
    </row>
    <row r="67" spans="2:11">
      <c r="B67" s="239">
        <f t="shared" si="14"/>
        <v>2022</v>
      </c>
      <c r="C67" s="284">
        <f t="shared" si="11"/>
        <v>6.5</v>
      </c>
      <c r="D67" s="248">
        <f>J$32</f>
        <v>0</v>
      </c>
      <c r="E67" s="17">
        <f t="shared" si="7"/>
        <v>0.89335954855816169</v>
      </c>
      <c r="F67" s="249">
        <f t="shared" si="12"/>
        <v>0</v>
      </c>
      <c r="H67" s="17">
        <f t="shared" si="13"/>
        <v>0.89908760548006705</v>
      </c>
      <c r="I67" s="17">
        <f t="shared" si="8"/>
        <v>0.88767355799204506</v>
      </c>
      <c r="J67" s="249">
        <f t="shared" si="9"/>
        <v>0</v>
      </c>
      <c r="K67" s="249">
        <f t="shared" si="10"/>
        <v>0</v>
      </c>
    </row>
    <row r="68" spans="2:11">
      <c r="B68" s="310" t="s">
        <v>4</v>
      </c>
      <c r="C68" s="317"/>
      <c r="D68" s="314"/>
      <c r="E68" s="315"/>
      <c r="F68" s="311">
        <f>SUM(F61:F67)</f>
        <v>151.09459002407405</v>
      </c>
      <c r="H68" s="318"/>
      <c r="I68" s="315"/>
      <c r="J68" s="311">
        <f>SUM(J61:J67)</f>
        <v>151.20173743661184</v>
      </c>
      <c r="K68" s="250">
        <f>SUM(K61:K67)</f>
        <v>150.98764876483193</v>
      </c>
    </row>
    <row r="69" spans="2:11">
      <c r="C69" s="312">
        <f>SUMPRODUCT(C61:C67,F61:F67)/F68</f>
        <v>0.72085642317380372</v>
      </c>
      <c r="D69" s="9" t="s">
        <v>308</v>
      </c>
      <c r="F69" s="251"/>
      <c r="J69" s="11" t="s">
        <v>310</v>
      </c>
      <c r="K69" s="266">
        <f>-(K68-J68)/((C$17-(-C$17))*F68)</f>
        <v>0.70845909091051473</v>
      </c>
    </row>
    <row r="70" spans="2:11">
      <c r="C70" s="286">
        <f>C69/(1+C16)</f>
        <v>0.70845840115361536</v>
      </c>
      <c r="D70" s="10" t="s">
        <v>309</v>
      </c>
      <c r="F70" s="251"/>
    </row>
    <row r="71" spans="2:11">
      <c r="D71" s="251"/>
      <c r="F71" s="251"/>
    </row>
    <row r="72" spans="2:11" s="12" customFormat="1">
      <c r="B72" s="12" t="s">
        <v>12</v>
      </c>
      <c r="D72" s="252"/>
      <c r="F72" s="252"/>
    </row>
    <row r="73" spans="2:11">
      <c r="B73" s="238">
        <v>2016</v>
      </c>
      <c r="C73" s="285">
        <f t="shared" ref="C73:C79" si="15">B73-2015.5</f>
        <v>0.5</v>
      </c>
      <c r="D73" s="247">
        <f>D$46</f>
        <v>277.15128205128201</v>
      </c>
      <c r="E73" s="236">
        <f t="shared" ref="E73:E79" si="16">1/(1+$C$16)^C73</f>
        <v>0.99136319419321939</v>
      </c>
      <c r="F73" s="247">
        <f>D73*E73</f>
        <v>274.75758024910482</v>
      </c>
      <c r="H73" s="236">
        <f>1/(1+$C$16-$C$17)^$C73</f>
        <v>0.99185070993165747</v>
      </c>
      <c r="I73" s="236">
        <f t="shared" ref="I73:I79" si="17">1/(1+$C$16+$C$17)^$C73</f>
        <v>0.99087639662191229</v>
      </c>
      <c r="J73" s="247">
        <f t="shared" ref="J73:J79" si="18">D73*H73</f>
        <v>274.89269586103308</v>
      </c>
      <c r="K73" s="247">
        <f t="shared" ref="K73:K79" si="19">D73*I73</f>
        <v>274.62266367811759</v>
      </c>
    </row>
    <row r="74" spans="2:11">
      <c r="B74" s="29">
        <f>B73+1</f>
        <v>2017</v>
      </c>
      <c r="C74" s="284">
        <f t="shared" si="15"/>
        <v>1.5</v>
      </c>
      <c r="D74" s="248">
        <f>E$46</f>
        <v>149.90993589743587</v>
      </c>
      <c r="E74" s="17">
        <f t="shared" si="16"/>
        <v>0.9743127215658175</v>
      </c>
      <c r="F74" s="248">
        <f t="shared" ref="F74:F79" si="20">D74*E74</f>
        <v>146.05915763398798</v>
      </c>
      <c r="H74" s="17">
        <f t="shared" ref="H74:H79" si="21">1/(1+$C$16-$C$17)^C74</f>
        <v>0.97575082137890534</v>
      </c>
      <c r="I74" s="17">
        <f t="shared" si="17"/>
        <v>0.97287815083152895</v>
      </c>
      <c r="J74" s="248">
        <f t="shared" si="18"/>
        <v>146.2747430847821</v>
      </c>
      <c r="K74" s="248">
        <f t="shared" si="19"/>
        <v>145.84410122717046</v>
      </c>
    </row>
    <row r="75" spans="2:11">
      <c r="B75" s="29">
        <f t="shared" ref="B75:B79" si="22">B74+1</f>
        <v>2018</v>
      </c>
      <c r="C75" s="284">
        <f t="shared" si="15"/>
        <v>2.5</v>
      </c>
      <c r="D75" s="248">
        <f>F$46</f>
        <v>106.79198717948717</v>
      </c>
      <c r="E75" s="17">
        <f t="shared" si="16"/>
        <v>0.95755550031038561</v>
      </c>
      <c r="F75" s="248">
        <f t="shared" si="20"/>
        <v>102.25925471279412</v>
      </c>
      <c r="H75" s="17">
        <f t="shared" si="21"/>
        <v>0.9599122689413726</v>
      </c>
      <c r="I75" s="17">
        <f t="shared" si="17"/>
        <v>0.95520682457685713</v>
      </c>
      <c r="J75" s="248">
        <f t="shared" si="18"/>
        <v>102.51093871821949</v>
      </c>
      <c r="K75" s="248">
        <f t="shared" si="19"/>
        <v>102.00843496397037</v>
      </c>
    </row>
    <row r="76" spans="2:11">
      <c r="B76" s="29">
        <f t="shared" si="22"/>
        <v>2019</v>
      </c>
      <c r="C76" s="284">
        <f t="shared" si="15"/>
        <v>3.5</v>
      </c>
      <c r="D76" s="248">
        <f>G$46</f>
        <v>80.041987179487194</v>
      </c>
      <c r="E76" s="17">
        <f t="shared" si="16"/>
        <v>0.94108648679153384</v>
      </c>
      <c r="F76" s="248">
        <f t="shared" si="20"/>
        <v>75.3264325105566</v>
      </c>
      <c r="H76" s="17">
        <f t="shared" si="21"/>
        <v>0.94433081056701662</v>
      </c>
      <c r="I76" s="17">
        <f t="shared" si="17"/>
        <v>0.93785647970236352</v>
      </c>
      <c r="J76" s="248">
        <f t="shared" si="18"/>
        <v>75.586114632599887</v>
      </c>
      <c r="K76" s="248">
        <f t="shared" si="19"/>
        <v>75.067896324535567</v>
      </c>
    </row>
    <row r="77" spans="2:11">
      <c r="B77" s="29">
        <f t="shared" si="22"/>
        <v>2020</v>
      </c>
      <c r="C77" s="284">
        <f t="shared" si="15"/>
        <v>4.5</v>
      </c>
      <c r="D77" s="248">
        <f>H$46</f>
        <v>49.446153846153848</v>
      </c>
      <c r="E77" s="17">
        <f t="shared" si="16"/>
        <v>0.92490072411944346</v>
      </c>
      <c r="F77" s="248">
        <f t="shared" si="20"/>
        <v>45.7327834972291</v>
      </c>
      <c r="H77" s="17">
        <f t="shared" si="21"/>
        <v>0.92900227306150163</v>
      </c>
      <c r="I77" s="17">
        <f t="shared" si="17"/>
        <v>0.92082128591297363</v>
      </c>
      <c r="J77" s="248">
        <f t="shared" si="18"/>
        <v>45.935589317225634</v>
      </c>
      <c r="K77" s="248">
        <f t="shared" si="19"/>
        <v>45.531070968066111</v>
      </c>
    </row>
    <row r="78" spans="2:11">
      <c r="B78" s="29">
        <f t="shared" si="22"/>
        <v>2021</v>
      </c>
      <c r="C78" s="284">
        <f t="shared" si="15"/>
        <v>5.5</v>
      </c>
      <c r="D78" s="248">
        <f>I$46</f>
        <v>21.689423076923095</v>
      </c>
      <c r="E78" s="17">
        <f t="shared" si="16"/>
        <v>0.90899334065792947</v>
      </c>
      <c r="F78" s="248">
        <f t="shared" si="20"/>
        <v>19.715541139635512</v>
      </c>
      <c r="H78" s="17">
        <f t="shared" si="21"/>
        <v>0.91392255097048847</v>
      </c>
      <c r="I78" s="17">
        <f t="shared" si="17"/>
        <v>0.90409551881489802</v>
      </c>
      <c r="J78" s="248">
        <f t="shared" si="18"/>
        <v>19.822452867539734</v>
      </c>
      <c r="K78" s="248">
        <f t="shared" si="19"/>
        <v>19.609310209526608</v>
      </c>
    </row>
    <row r="79" spans="2:11">
      <c r="B79" s="239">
        <f t="shared" si="22"/>
        <v>2022</v>
      </c>
      <c r="C79" s="284">
        <f t="shared" si="15"/>
        <v>6.5</v>
      </c>
      <c r="D79" s="248">
        <f>J$46</f>
        <v>3.9692307692307724</v>
      </c>
      <c r="E79" s="17">
        <f t="shared" si="16"/>
        <v>0.89335954855816169</v>
      </c>
      <c r="F79" s="249">
        <f t="shared" si="20"/>
        <v>3.5459502081231675</v>
      </c>
      <c r="H79" s="17">
        <f t="shared" si="21"/>
        <v>0.89908760548006705</v>
      </c>
      <c r="I79" s="17">
        <f t="shared" si="17"/>
        <v>0.88767355799204506</v>
      </c>
      <c r="J79" s="249">
        <f t="shared" si="18"/>
        <v>3.5686861879054996</v>
      </c>
      <c r="K79" s="249">
        <f t="shared" si="19"/>
        <v>3.5233811994145818</v>
      </c>
    </row>
    <row r="80" spans="2:11">
      <c r="B80" s="310" t="s">
        <v>4</v>
      </c>
      <c r="C80" s="317"/>
      <c r="D80" s="314"/>
      <c r="E80" s="315"/>
      <c r="F80" s="311">
        <f>SUM(F73:F79)</f>
        <v>667.39669995143129</v>
      </c>
      <c r="H80" s="318"/>
      <c r="I80" s="315"/>
      <c r="J80" s="311">
        <f>SUM(J73:J79)</f>
        <v>668.59122066930547</v>
      </c>
      <c r="K80" s="250">
        <f>SUM(K73:K79)</f>
        <v>666.20685857080127</v>
      </c>
    </row>
    <row r="81" spans="1:11">
      <c r="C81" s="312">
        <f>SUMPRODUCT(C73:C79,F73:F79)/F80</f>
        <v>1.8175694539560527</v>
      </c>
      <c r="D81" s="9" t="s">
        <v>308</v>
      </c>
      <c r="J81" s="11" t="str">
        <f>J69</f>
        <v xml:space="preserve"> (12) Effective duration</v>
      </c>
      <c r="K81" s="266">
        <f>-(K80-J80)/((C$17-(-C$17))*F80)</f>
        <v>1.7863154692536809</v>
      </c>
    </row>
    <row r="82" spans="1:11">
      <c r="C82" s="286">
        <f>C81/(1+C16)</f>
        <v>1.7863090456570541</v>
      </c>
      <c r="D82" s="10" t="s">
        <v>309</v>
      </c>
    </row>
    <row r="84" spans="1:11">
      <c r="B84" s="3" t="s">
        <v>313</v>
      </c>
    </row>
    <row r="86" spans="1:11">
      <c r="F86" s="13" t="s">
        <v>44</v>
      </c>
      <c r="G86" s="13"/>
      <c r="H86" s="13" t="s">
        <v>46</v>
      </c>
      <c r="I86" s="13" t="s">
        <v>31</v>
      </c>
      <c r="J86" s="13" t="s">
        <v>43</v>
      </c>
    </row>
    <row r="87" spans="1:11">
      <c r="F87" s="84" t="s">
        <v>30</v>
      </c>
      <c r="G87" s="84" t="s">
        <v>45</v>
      </c>
      <c r="H87" s="84" t="s">
        <v>30</v>
      </c>
      <c r="I87" s="84" t="s">
        <v>29</v>
      </c>
      <c r="J87" s="84" t="s">
        <v>29</v>
      </c>
    </row>
    <row r="88" spans="1:11">
      <c r="E88" t="str">
        <f>B60</f>
        <v>Property</v>
      </c>
      <c r="F88" s="251">
        <f>F68</f>
        <v>151.09459002407405</v>
      </c>
      <c r="G88" s="14">
        <v>5</v>
      </c>
      <c r="H88" s="14">
        <f>F88+G88</f>
        <v>156.09459002407405</v>
      </c>
      <c r="I88" s="243">
        <f>C70</f>
        <v>0.70845840115361536</v>
      </c>
      <c r="J88" s="243">
        <f>K69</f>
        <v>0.70845909091051473</v>
      </c>
    </row>
    <row r="89" spans="1:11">
      <c r="E89" s="15" t="str">
        <f>B72</f>
        <v>Liability</v>
      </c>
      <c r="F89" s="319">
        <f>F80</f>
        <v>667.39669995143129</v>
      </c>
      <c r="G89" s="16">
        <v>115</v>
      </c>
      <c r="H89" s="14">
        <f>F89+G89</f>
        <v>782.39669995143129</v>
      </c>
      <c r="I89" s="243">
        <f>C82</f>
        <v>1.7863090456570541</v>
      </c>
      <c r="J89" s="243">
        <f>K81</f>
        <v>1.7863154692536809</v>
      </c>
    </row>
    <row r="90" spans="1:11">
      <c r="E90" t="s">
        <v>4</v>
      </c>
      <c r="F90" s="251">
        <f>SUM(F88:F89)</f>
        <v>818.49128997550531</v>
      </c>
      <c r="G90" s="14">
        <f t="shared" ref="G90:H90" si="23">SUM(G88:G89)</f>
        <v>120</v>
      </c>
      <c r="H90" s="265">
        <f t="shared" si="23"/>
        <v>938.49128997550531</v>
      </c>
      <c r="I90" s="275">
        <f>(H88*I88+H89*I89)/H90</f>
        <v>1.6070355070977997</v>
      </c>
      <c r="J90" s="276">
        <f>(H88*J88+H89*J89)/H90</f>
        <v>1.6070409770133736</v>
      </c>
    </row>
    <row r="93" spans="1:11">
      <c r="A93" s="47">
        <v>-3</v>
      </c>
      <c r="B93" s="8" t="s">
        <v>376</v>
      </c>
      <c r="F93" s="47">
        <v>-8</v>
      </c>
      <c r="G93" s="8" t="s">
        <v>372</v>
      </c>
    </row>
    <row r="94" spans="1:11">
      <c r="A94" s="47">
        <f>A93-1</f>
        <v>-4</v>
      </c>
      <c r="B94" s="9" t="s">
        <v>370</v>
      </c>
      <c r="F94" s="47">
        <f>F93-1</f>
        <v>-9</v>
      </c>
      <c r="G94" s="8" t="s">
        <v>374</v>
      </c>
    </row>
    <row r="95" spans="1:11">
      <c r="A95" s="47">
        <f t="shared" ref="A95:A97" si="24">A94-1</f>
        <v>-5</v>
      </c>
      <c r="B95" s="10" t="s">
        <v>378</v>
      </c>
      <c r="F95" s="47">
        <f t="shared" ref="F95:F96" si="25">F94-1</f>
        <v>-10</v>
      </c>
      <c r="G95" s="8" t="s">
        <v>379</v>
      </c>
    </row>
    <row r="96" spans="1:11">
      <c r="A96" s="47">
        <f t="shared" si="24"/>
        <v>-6</v>
      </c>
      <c r="B96" s="24" t="s">
        <v>373</v>
      </c>
      <c r="F96" s="47">
        <f t="shared" si="25"/>
        <v>-11</v>
      </c>
      <c r="G96" s="8" t="s">
        <v>380</v>
      </c>
    </row>
    <row r="97" spans="1:11">
      <c r="A97" s="47">
        <f t="shared" si="24"/>
        <v>-7</v>
      </c>
      <c r="B97" s="8" t="s">
        <v>371</v>
      </c>
      <c r="F97" s="47">
        <f>F96-1</f>
        <v>-12</v>
      </c>
      <c r="G97" s="24" t="s">
        <v>382</v>
      </c>
    </row>
    <row r="103" spans="1:11">
      <c r="J103" t="s">
        <v>203</v>
      </c>
      <c r="K103" t="s">
        <v>203</v>
      </c>
    </row>
  </sheetData>
  <mergeCells count="2">
    <mergeCell ref="D25:J25"/>
    <mergeCell ref="D39:J39"/>
  </mergeCells>
  <printOptions horizontalCentered="1"/>
  <pageMargins left="0.59055118110236227" right="0.39370078740157483" top="0.59055118110236227" bottom="0.74803149606299213" header="0.31496062992125984" footer="0.31496062992125984"/>
  <pageSetup scale="70" fitToHeight="4" orientation="portrait" r:id="rId1"/>
  <headerFooter>
    <oddHeader>&amp;C&amp;G</oddHeader>
  </headerFooter>
  <rowBreaks count="1" manualBreakCount="1">
    <brk id="5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78"/>
  <sheetViews>
    <sheetView view="pageLayout" zoomScaleNormal="100" zoomScaleSheetLayoutView="75" workbookViewId="0">
      <selection activeCell="G2" sqref="G2"/>
    </sheetView>
  </sheetViews>
  <sheetFormatPr defaultColWidth="11.44140625" defaultRowHeight="14.4"/>
  <cols>
    <col min="1" max="1" width="4.6640625" customWidth="1"/>
    <col min="2" max="2" width="9" style="94" customWidth="1"/>
    <col min="3" max="6" width="15.6640625" style="86" customWidth="1"/>
    <col min="7" max="7" width="12.33203125" style="86" customWidth="1"/>
    <col min="8" max="12" width="11.6640625" style="86" customWidth="1"/>
    <col min="13" max="13" width="4.109375" customWidth="1"/>
    <col min="14" max="14" width="5.5546875" customWidth="1"/>
    <col min="258" max="258" width="9" customWidth="1"/>
    <col min="259" max="262" width="18.6640625" customWidth="1"/>
    <col min="263" max="263" width="12.33203125" customWidth="1"/>
    <col min="264" max="266" width="12.6640625" customWidth="1"/>
    <col min="267" max="268" width="15" customWidth="1"/>
    <col min="269" max="269" width="12.6640625" customWidth="1"/>
    <col min="270" max="270" width="5.5546875" customWidth="1"/>
    <col min="514" max="514" width="9" customWidth="1"/>
    <col min="515" max="518" width="18.6640625" customWidth="1"/>
    <col min="519" max="519" width="12.33203125" customWidth="1"/>
    <col min="520" max="522" width="12.6640625" customWidth="1"/>
    <col min="523" max="524" width="15" customWidth="1"/>
    <col min="525" max="525" width="12.6640625" customWidth="1"/>
    <col min="526" max="526" width="5.5546875" customWidth="1"/>
    <col min="770" max="770" width="9" customWidth="1"/>
    <col min="771" max="774" width="18.6640625" customWidth="1"/>
    <col min="775" max="775" width="12.33203125" customWidth="1"/>
    <col min="776" max="778" width="12.6640625" customWidth="1"/>
    <col min="779" max="780" width="15" customWidth="1"/>
    <col min="781" max="781" width="12.6640625" customWidth="1"/>
    <col min="782" max="782" width="5.5546875" customWidth="1"/>
    <col min="1026" max="1026" width="9" customWidth="1"/>
    <col min="1027" max="1030" width="18.6640625" customWidth="1"/>
    <col min="1031" max="1031" width="12.33203125" customWidth="1"/>
    <col min="1032" max="1034" width="12.6640625" customWidth="1"/>
    <col min="1035" max="1036" width="15" customWidth="1"/>
    <col min="1037" max="1037" width="12.6640625" customWidth="1"/>
    <col min="1038" max="1038" width="5.5546875" customWidth="1"/>
    <col min="1282" max="1282" width="9" customWidth="1"/>
    <col min="1283" max="1286" width="18.6640625" customWidth="1"/>
    <col min="1287" max="1287" width="12.33203125" customWidth="1"/>
    <col min="1288" max="1290" width="12.6640625" customWidth="1"/>
    <col min="1291" max="1292" width="15" customWidth="1"/>
    <col min="1293" max="1293" width="12.6640625" customWidth="1"/>
    <col min="1294" max="1294" width="5.5546875" customWidth="1"/>
    <col min="1538" max="1538" width="9" customWidth="1"/>
    <col min="1539" max="1542" width="18.6640625" customWidth="1"/>
    <col min="1543" max="1543" width="12.33203125" customWidth="1"/>
    <col min="1544" max="1546" width="12.6640625" customWidth="1"/>
    <col min="1547" max="1548" width="15" customWidth="1"/>
    <col min="1549" max="1549" width="12.6640625" customWidth="1"/>
    <col min="1550" max="1550" width="5.5546875" customWidth="1"/>
    <col min="1794" max="1794" width="9" customWidth="1"/>
    <col min="1795" max="1798" width="18.6640625" customWidth="1"/>
    <col min="1799" max="1799" width="12.33203125" customWidth="1"/>
    <col min="1800" max="1802" width="12.6640625" customWidth="1"/>
    <col min="1803" max="1804" width="15" customWidth="1"/>
    <col min="1805" max="1805" width="12.6640625" customWidth="1"/>
    <col min="1806" max="1806" width="5.5546875" customWidth="1"/>
    <col min="2050" max="2050" width="9" customWidth="1"/>
    <col min="2051" max="2054" width="18.6640625" customWidth="1"/>
    <col min="2055" max="2055" width="12.33203125" customWidth="1"/>
    <col min="2056" max="2058" width="12.6640625" customWidth="1"/>
    <col min="2059" max="2060" width="15" customWidth="1"/>
    <col min="2061" max="2061" width="12.6640625" customWidth="1"/>
    <col min="2062" max="2062" width="5.5546875" customWidth="1"/>
    <col min="2306" max="2306" width="9" customWidth="1"/>
    <col min="2307" max="2310" width="18.6640625" customWidth="1"/>
    <col min="2311" max="2311" width="12.33203125" customWidth="1"/>
    <col min="2312" max="2314" width="12.6640625" customWidth="1"/>
    <col min="2315" max="2316" width="15" customWidth="1"/>
    <col min="2317" max="2317" width="12.6640625" customWidth="1"/>
    <col min="2318" max="2318" width="5.5546875" customWidth="1"/>
    <col min="2562" max="2562" width="9" customWidth="1"/>
    <col min="2563" max="2566" width="18.6640625" customWidth="1"/>
    <col min="2567" max="2567" width="12.33203125" customWidth="1"/>
    <col min="2568" max="2570" width="12.6640625" customWidth="1"/>
    <col min="2571" max="2572" width="15" customWidth="1"/>
    <col min="2573" max="2573" width="12.6640625" customWidth="1"/>
    <col min="2574" max="2574" width="5.5546875" customWidth="1"/>
    <col min="2818" max="2818" width="9" customWidth="1"/>
    <col min="2819" max="2822" width="18.6640625" customWidth="1"/>
    <col min="2823" max="2823" width="12.33203125" customWidth="1"/>
    <col min="2824" max="2826" width="12.6640625" customWidth="1"/>
    <col min="2827" max="2828" width="15" customWidth="1"/>
    <col min="2829" max="2829" width="12.6640625" customWidth="1"/>
    <col min="2830" max="2830" width="5.5546875" customWidth="1"/>
    <col min="3074" max="3074" width="9" customWidth="1"/>
    <col min="3075" max="3078" width="18.6640625" customWidth="1"/>
    <col min="3079" max="3079" width="12.33203125" customWidth="1"/>
    <col min="3080" max="3082" width="12.6640625" customWidth="1"/>
    <col min="3083" max="3084" width="15" customWidth="1"/>
    <col min="3085" max="3085" width="12.6640625" customWidth="1"/>
    <col min="3086" max="3086" width="5.5546875" customWidth="1"/>
    <col min="3330" max="3330" width="9" customWidth="1"/>
    <col min="3331" max="3334" width="18.6640625" customWidth="1"/>
    <col min="3335" max="3335" width="12.33203125" customWidth="1"/>
    <col min="3336" max="3338" width="12.6640625" customWidth="1"/>
    <col min="3339" max="3340" width="15" customWidth="1"/>
    <col min="3341" max="3341" width="12.6640625" customWidth="1"/>
    <col min="3342" max="3342" width="5.5546875" customWidth="1"/>
    <col min="3586" max="3586" width="9" customWidth="1"/>
    <col min="3587" max="3590" width="18.6640625" customWidth="1"/>
    <col min="3591" max="3591" width="12.33203125" customWidth="1"/>
    <col min="3592" max="3594" width="12.6640625" customWidth="1"/>
    <col min="3595" max="3596" width="15" customWidth="1"/>
    <col min="3597" max="3597" width="12.6640625" customWidth="1"/>
    <col min="3598" max="3598" width="5.5546875" customWidth="1"/>
    <col min="3842" max="3842" width="9" customWidth="1"/>
    <col min="3843" max="3846" width="18.6640625" customWidth="1"/>
    <col min="3847" max="3847" width="12.33203125" customWidth="1"/>
    <col min="3848" max="3850" width="12.6640625" customWidth="1"/>
    <col min="3851" max="3852" width="15" customWidth="1"/>
    <col min="3853" max="3853" width="12.6640625" customWidth="1"/>
    <col min="3854" max="3854" width="5.5546875" customWidth="1"/>
    <col min="4098" max="4098" width="9" customWidth="1"/>
    <col min="4099" max="4102" width="18.6640625" customWidth="1"/>
    <col min="4103" max="4103" width="12.33203125" customWidth="1"/>
    <col min="4104" max="4106" width="12.6640625" customWidth="1"/>
    <col min="4107" max="4108" width="15" customWidth="1"/>
    <col min="4109" max="4109" width="12.6640625" customWidth="1"/>
    <col min="4110" max="4110" width="5.5546875" customWidth="1"/>
    <col min="4354" max="4354" width="9" customWidth="1"/>
    <col min="4355" max="4358" width="18.6640625" customWidth="1"/>
    <col min="4359" max="4359" width="12.33203125" customWidth="1"/>
    <col min="4360" max="4362" width="12.6640625" customWidth="1"/>
    <col min="4363" max="4364" width="15" customWidth="1"/>
    <col min="4365" max="4365" width="12.6640625" customWidth="1"/>
    <col min="4366" max="4366" width="5.5546875" customWidth="1"/>
    <col min="4610" max="4610" width="9" customWidth="1"/>
    <col min="4611" max="4614" width="18.6640625" customWidth="1"/>
    <col min="4615" max="4615" width="12.33203125" customWidth="1"/>
    <col min="4616" max="4618" width="12.6640625" customWidth="1"/>
    <col min="4619" max="4620" width="15" customWidth="1"/>
    <col min="4621" max="4621" width="12.6640625" customWidth="1"/>
    <col min="4622" max="4622" width="5.5546875" customWidth="1"/>
    <col min="4866" max="4866" width="9" customWidth="1"/>
    <col min="4867" max="4870" width="18.6640625" customWidth="1"/>
    <col min="4871" max="4871" width="12.33203125" customWidth="1"/>
    <col min="4872" max="4874" width="12.6640625" customWidth="1"/>
    <col min="4875" max="4876" width="15" customWidth="1"/>
    <col min="4877" max="4877" width="12.6640625" customWidth="1"/>
    <col min="4878" max="4878" width="5.5546875" customWidth="1"/>
    <col min="5122" max="5122" width="9" customWidth="1"/>
    <col min="5123" max="5126" width="18.6640625" customWidth="1"/>
    <col min="5127" max="5127" width="12.33203125" customWidth="1"/>
    <col min="5128" max="5130" width="12.6640625" customWidth="1"/>
    <col min="5131" max="5132" width="15" customWidth="1"/>
    <col min="5133" max="5133" width="12.6640625" customWidth="1"/>
    <col min="5134" max="5134" width="5.5546875" customWidth="1"/>
    <col min="5378" max="5378" width="9" customWidth="1"/>
    <col min="5379" max="5382" width="18.6640625" customWidth="1"/>
    <col min="5383" max="5383" width="12.33203125" customWidth="1"/>
    <col min="5384" max="5386" width="12.6640625" customWidth="1"/>
    <col min="5387" max="5388" width="15" customWidth="1"/>
    <col min="5389" max="5389" width="12.6640625" customWidth="1"/>
    <col min="5390" max="5390" width="5.5546875" customWidth="1"/>
    <col min="5634" max="5634" width="9" customWidth="1"/>
    <col min="5635" max="5638" width="18.6640625" customWidth="1"/>
    <col min="5639" max="5639" width="12.33203125" customWidth="1"/>
    <col min="5640" max="5642" width="12.6640625" customWidth="1"/>
    <col min="5643" max="5644" width="15" customWidth="1"/>
    <col min="5645" max="5645" width="12.6640625" customWidth="1"/>
    <col min="5646" max="5646" width="5.5546875" customWidth="1"/>
    <col min="5890" max="5890" width="9" customWidth="1"/>
    <col min="5891" max="5894" width="18.6640625" customWidth="1"/>
    <col min="5895" max="5895" width="12.33203125" customWidth="1"/>
    <col min="5896" max="5898" width="12.6640625" customWidth="1"/>
    <col min="5899" max="5900" width="15" customWidth="1"/>
    <col min="5901" max="5901" width="12.6640625" customWidth="1"/>
    <col min="5902" max="5902" width="5.5546875" customWidth="1"/>
    <col min="6146" max="6146" width="9" customWidth="1"/>
    <col min="6147" max="6150" width="18.6640625" customWidth="1"/>
    <col min="6151" max="6151" width="12.33203125" customWidth="1"/>
    <col min="6152" max="6154" width="12.6640625" customWidth="1"/>
    <col min="6155" max="6156" width="15" customWidth="1"/>
    <col min="6157" max="6157" width="12.6640625" customWidth="1"/>
    <col min="6158" max="6158" width="5.5546875" customWidth="1"/>
    <col min="6402" max="6402" width="9" customWidth="1"/>
    <col min="6403" max="6406" width="18.6640625" customWidth="1"/>
    <col min="6407" max="6407" width="12.33203125" customWidth="1"/>
    <col min="6408" max="6410" width="12.6640625" customWidth="1"/>
    <col min="6411" max="6412" width="15" customWidth="1"/>
    <col min="6413" max="6413" width="12.6640625" customWidth="1"/>
    <col min="6414" max="6414" width="5.5546875" customWidth="1"/>
    <col min="6658" max="6658" width="9" customWidth="1"/>
    <col min="6659" max="6662" width="18.6640625" customWidth="1"/>
    <col min="6663" max="6663" width="12.33203125" customWidth="1"/>
    <col min="6664" max="6666" width="12.6640625" customWidth="1"/>
    <col min="6667" max="6668" width="15" customWidth="1"/>
    <col min="6669" max="6669" width="12.6640625" customWidth="1"/>
    <col min="6670" max="6670" width="5.5546875" customWidth="1"/>
    <col min="6914" max="6914" width="9" customWidth="1"/>
    <col min="6915" max="6918" width="18.6640625" customWidth="1"/>
    <col min="6919" max="6919" width="12.33203125" customWidth="1"/>
    <col min="6920" max="6922" width="12.6640625" customWidth="1"/>
    <col min="6923" max="6924" width="15" customWidth="1"/>
    <col min="6925" max="6925" width="12.6640625" customWidth="1"/>
    <col min="6926" max="6926" width="5.5546875" customWidth="1"/>
    <col min="7170" max="7170" width="9" customWidth="1"/>
    <col min="7171" max="7174" width="18.6640625" customWidth="1"/>
    <col min="7175" max="7175" width="12.33203125" customWidth="1"/>
    <col min="7176" max="7178" width="12.6640625" customWidth="1"/>
    <col min="7179" max="7180" width="15" customWidth="1"/>
    <col min="7181" max="7181" width="12.6640625" customWidth="1"/>
    <col min="7182" max="7182" width="5.5546875" customWidth="1"/>
    <col min="7426" max="7426" width="9" customWidth="1"/>
    <col min="7427" max="7430" width="18.6640625" customWidth="1"/>
    <col min="7431" max="7431" width="12.33203125" customWidth="1"/>
    <col min="7432" max="7434" width="12.6640625" customWidth="1"/>
    <col min="7435" max="7436" width="15" customWidth="1"/>
    <col min="7437" max="7437" width="12.6640625" customWidth="1"/>
    <col min="7438" max="7438" width="5.5546875" customWidth="1"/>
    <col min="7682" max="7682" width="9" customWidth="1"/>
    <col min="7683" max="7686" width="18.6640625" customWidth="1"/>
    <col min="7687" max="7687" width="12.33203125" customWidth="1"/>
    <col min="7688" max="7690" width="12.6640625" customWidth="1"/>
    <col min="7691" max="7692" width="15" customWidth="1"/>
    <col min="7693" max="7693" width="12.6640625" customWidth="1"/>
    <col min="7694" max="7694" width="5.5546875" customWidth="1"/>
    <col min="7938" max="7938" width="9" customWidth="1"/>
    <col min="7939" max="7942" width="18.6640625" customWidth="1"/>
    <col min="7943" max="7943" width="12.33203125" customWidth="1"/>
    <col min="7944" max="7946" width="12.6640625" customWidth="1"/>
    <col min="7947" max="7948" width="15" customWidth="1"/>
    <col min="7949" max="7949" width="12.6640625" customWidth="1"/>
    <col min="7950" max="7950" width="5.5546875" customWidth="1"/>
    <col min="8194" max="8194" width="9" customWidth="1"/>
    <col min="8195" max="8198" width="18.6640625" customWidth="1"/>
    <col min="8199" max="8199" width="12.33203125" customWidth="1"/>
    <col min="8200" max="8202" width="12.6640625" customWidth="1"/>
    <col min="8203" max="8204" width="15" customWidth="1"/>
    <col min="8205" max="8205" width="12.6640625" customWidth="1"/>
    <col min="8206" max="8206" width="5.5546875" customWidth="1"/>
    <col min="8450" max="8450" width="9" customWidth="1"/>
    <col min="8451" max="8454" width="18.6640625" customWidth="1"/>
    <col min="8455" max="8455" width="12.33203125" customWidth="1"/>
    <col min="8456" max="8458" width="12.6640625" customWidth="1"/>
    <col min="8459" max="8460" width="15" customWidth="1"/>
    <col min="8461" max="8461" width="12.6640625" customWidth="1"/>
    <col min="8462" max="8462" width="5.5546875" customWidth="1"/>
    <col min="8706" max="8706" width="9" customWidth="1"/>
    <col min="8707" max="8710" width="18.6640625" customWidth="1"/>
    <col min="8711" max="8711" width="12.33203125" customWidth="1"/>
    <col min="8712" max="8714" width="12.6640625" customWidth="1"/>
    <col min="8715" max="8716" width="15" customWidth="1"/>
    <col min="8717" max="8717" width="12.6640625" customWidth="1"/>
    <col min="8718" max="8718" width="5.5546875" customWidth="1"/>
    <col min="8962" max="8962" width="9" customWidth="1"/>
    <col min="8963" max="8966" width="18.6640625" customWidth="1"/>
    <col min="8967" max="8967" width="12.33203125" customWidth="1"/>
    <col min="8968" max="8970" width="12.6640625" customWidth="1"/>
    <col min="8971" max="8972" width="15" customWidth="1"/>
    <col min="8973" max="8973" width="12.6640625" customWidth="1"/>
    <col min="8974" max="8974" width="5.5546875" customWidth="1"/>
    <col min="9218" max="9218" width="9" customWidth="1"/>
    <col min="9219" max="9222" width="18.6640625" customWidth="1"/>
    <col min="9223" max="9223" width="12.33203125" customWidth="1"/>
    <col min="9224" max="9226" width="12.6640625" customWidth="1"/>
    <col min="9227" max="9228" width="15" customWidth="1"/>
    <col min="9229" max="9229" width="12.6640625" customWidth="1"/>
    <col min="9230" max="9230" width="5.5546875" customWidth="1"/>
    <col min="9474" max="9474" width="9" customWidth="1"/>
    <col min="9475" max="9478" width="18.6640625" customWidth="1"/>
    <col min="9479" max="9479" width="12.33203125" customWidth="1"/>
    <col min="9480" max="9482" width="12.6640625" customWidth="1"/>
    <col min="9483" max="9484" width="15" customWidth="1"/>
    <col min="9485" max="9485" width="12.6640625" customWidth="1"/>
    <col min="9486" max="9486" width="5.5546875" customWidth="1"/>
    <col min="9730" max="9730" width="9" customWidth="1"/>
    <col min="9731" max="9734" width="18.6640625" customWidth="1"/>
    <col min="9735" max="9735" width="12.33203125" customWidth="1"/>
    <col min="9736" max="9738" width="12.6640625" customWidth="1"/>
    <col min="9739" max="9740" width="15" customWidth="1"/>
    <col min="9741" max="9741" width="12.6640625" customWidth="1"/>
    <col min="9742" max="9742" width="5.5546875" customWidth="1"/>
    <col min="9986" max="9986" width="9" customWidth="1"/>
    <col min="9987" max="9990" width="18.6640625" customWidth="1"/>
    <col min="9991" max="9991" width="12.33203125" customWidth="1"/>
    <col min="9992" max="9994" width="12.6640625" customWidth="1"/>
    <col min="9995" max="9996" width="15" customWidth="1"/>
    <col min="9997" max="9997" width="12.6640625" customWidth="1"/>
    <col min="9998" max="9998" width="5.5546875" customWidth="1"/>
    <col min="10242" max="10242" width="9" customWidth="1"/>
    <col min="10243" max="10246" width="18.6640625" customWidth="1"/>
    <col min="10247" max="10247" width="12.33203125" customWidth="1"/>
    <col min="10248" max="10250" width="12.6640625" customWidth="1"/>
    <col min="10251" max="10252" width="15" customWidth="1"/>
    <col min="10253" max="10253" width="12.6640625" customWidth="1"/>
    <col min="10254" max="10254" width="5.5546875" customWidth="1"/>
    <col min="10498" max="10498" width="9" customWidth="1"/>
    <col min="10499" max="10502" width="18.6640625" customWidth="1"/>
    <col min="10503" max="10503" width="12.33203125" customWidth="1"/>
    <col min="10504" max="10506" width="12.6640625" customWidth="1"/>
    <col min="10507" max="10508" width="15" customWidth="1"/>
    <col min="10509" max="10509" width="12.6640625" customWidth="1"/>
    <col min="10510" max="10510" width="5.5546875" customWidth="1"/>
    <col min="10754" max="10754" width="9" customWidth="1"/>
    <col min="10755" max="10758" width="18.6640625" customWidth="1"/>
    <col min="10759" max="10759" width="12.33203125" customWidth="1"/>
    <col min="10760" max="10762" width="12.6640625" customWidth="1"/>
    <col min="10763" max="10764" width="15" customWidth="1"/>
    <col min="10765" max="10765" width="12.6640625" customWidth="1"/>
    <col min="10766" max="10766" width="5.5546875" customWidth="1"/>
    <col min="11010" max="11010" width="9" customWidth="1"/>
    <col min="11011" max="11014" width="18.6640625" customWidth="1"/>
    <col min="11015" max="11015" width="12.33203125" customWidth="1"/>
    <col min="11016" max="11018" width="12.6640625" customWidth="1"/>
    <col min="11019" max="11020" width="15" customWidth="1"/>
    <col min="11021" max="11021" width="12.6640625" customWidth="1"/>
    <col min="11022" max="11022" width="5.5546875" customWidth="1"/>
    <col min="11266" max="11266" width="9" customWidth="1"/>
    <col min="11267" max="11270" width="18.6640625" customWidth="1"/>
    <col min="11271" max="11271" width="12.33203125" customWidth="1"/>
    <col min="11272" max="11274" width="12.6640625" customWidth="1"/>
    <col min="11275" max="11276" width="15" customWidth="1"/>
    <col min="11277" max="11277" width="12.6640625" customWidth="1"/>
    <col min="11278" max="11278" width="5.5546875" customWidth="1"/>
    <col min="11522" max="11522" width="9" customWidth="1"/>
    <col min="11523" max="11526" width="18.6640625" customWidth="1"/>
    <col min="11527" max="11527" width="12.33203125" customWidth="1"/>
    <col min="11528" max="11530" width="12.6640625" customWidth="1"/>
    <col min="11531" max="11532" width="15" customWidth="1"/>
    <col min="11533" max="11533" width="12.6640625" customWidth="1"/>
    <col min="11534" max="11534" width="5.5546875" customWidth="1"/>
    <col min="11778" max="11778" width="9" customWidth="1"/>
    <col min="11779" max="11782" width="18.6640625" customWidth="1"/>
    <col min="11783" max="11783" width="12.33203125" customWidth="1"/>
    <col min="11784" max="11786" width="12.6640625" customWidth="1"/>
    <col min="11787" max="11788" width="15" customWidth="1"/>
    <col min="11789" max="11789" width="12.6640625" customWidth="1"/>
    <col min="11790" max="11790" width="5.5546875" customWidth="1"/>
    <col min="12034" max="12034" width="9" customWidth="1"/>
    <col min="12035" max="12038" width="18.6640625" customWidth="1"/>
    <col min="12039" max="12039" width="12.33203125" customWidth="1"/>
    <col min="12040" max="12042" width="12.6640625" customWidth="1"/>
    <col min="12043" max="12044" width="15" customWidth="1"/>
    <col min="12045" max="12045" width="12.6640625" customWidth="1"/>
    <col min="12046" max="12046" width="5.5546875" customWidth="1"/>
    <col min="12290" max="12290" width="9" customWidth="1"/>
    <col min="12291" max="12294" width="18.6640625" customWidth="1"/>
    <col min="12295" max="12295" width="12.33203125" customWidth="1"/>
    <col min="12296" max="12298" width="12.6640625" customWidth="1"/>
    <col min="12299" max="12300" width="15" customWidth="1"/>
    <col min="12301" max="12301" width="12.6640625" customWidth="1"/>
    <col min="12302" max="12302" width="5.5546875" customWidth="1"/>
    <col min="12546" max="12546" width="9" customWidth="1"/>
    <col min="12547" max="12550" width="18.6640625" customWidth="1"/>
    <col min="12551" max="12551" width="12.33203125" customWidth="1"/>
    <col min="12552" max="12554" width="12.6640625" customWidth="1"/>
    <col min="12555" max="12556" width="15" customWidth="1"/>
    <col min="12557" max="12557" width="12.6640625" customWidth="1"/>
    <col min="12558" max="12558" width="5.5546875" customWidth="1"/>
    <col min="12802" max="12802" width="9" customWidth="1"/>
    <col min="12803" max="12806" width="18.6640625" customWidth="1"/>
    <col min="12807" max="12807" width="12.33203125" customWidth="1"/>
    <col min="12808" max="12810" width="12.6640625" customWidth="1"/>
    <col min="12811" max="12812" width="15" customWidth="1"/>
    <col min="12813" max="12813" width="12.6640625" customWidth="1"/>
    <col min="12814" max="12814" width="5.5546875" customWidth="1"/>
    <col min="13058" max="13058" width="9" customWidth="1"/>
    <col min="13059" max="13062" width="18.6640625" customWidth="1"/>
    <col min="13063" max="13063" width="12.33203125" customWidth="1"/>
    <col min="13064" max="13066" width="12.6640625" customWidth="1"/>
    <col min="13067" max="13068" width="15" customWidth="1"/>
    <col min="13069" max="13069" width="12.6640625" customWidth="1"/>
    <col min="13070" max="13070" width="5.5546875" customWidth="1"/>
    <col min="13314" max="13314" width="9" customWidth="1"/>
    <col min="13315" max="13318" width="18.6640625" customWidth="1"/>
    <col min="13319" max="13319" width="12.33203125" customWidth="1"/>
    <col min="13320" max="13322" width="12.6640625" customWidth="1"/>
    <col min="13323" max="13324" width="15" customWidth="1"/>
    <col min="13325" max="13325" width="12.6640625" customWidth="1"/>
    <col min="13326" max="13326" width="5.5546875" customWidth="1"/>
    <col min="13570" max="13570" width="9" customWidth="1"/>
    <col min="13571" max="13574" width="18.6640625" customWidth="1"/>
    <col min="13575" max="13575" width="12.33203125" customWidth="1"/>
    <col min="13576" max="13578" width="12.6640625" customWidth="1"/>
    <col min="13579" max="13580" width="15" customWidth="1"/>
    <col min="13581" max="13581" width="12.6640625" customWidth="1"/>
    <col min="13582" max="13582" width="5.5546875" customWidth="1"/>
    <col min="13826" max="13826" width="9" customWidth="1"/>
    <col min="13827" max="13830" width="18.6640625" customWidth="1"/>
    <col min="13831" max="13831" width="12.33203125" customWidth="1"/>
    <col min="13832" max="13834" width="12.6640625" customWidth="1"/>
    <col min="13835" max="13836" width="15" customWidth="1"/>
    <col min="13837" max="13837" width="12.6640625" customWidth="1"/>
    <col min="13838" max="13838" width="5.5546875" customWidth="1"/>
    <col min="14082" max="14082" width="9" customWidth="1"/>
    <col min="14083" max="14086" width="18.6640625" customWidth="1"/>
    <col min="14087" max="14087" width="12.33203125" customWidth="1"/>
    <col min="14088" max="14090" width="12.6640625" customWidth="1"/>
    <col min="14091" max="14092" width="15" customWidth="1"/>
    <col min="14093" max="14093" width="12.6640625" customWidth="1"/>
    <col min="14094" max="14094" width="5.5546875" customWidth="1"/>
    <col min="14338" max="14338" width="9" customWidth="1"/>
    <col min="14339" max="14342" width="18.6640625" customWidth="1"/>
    <col min="14343" max="14343" width="12.33203125" customWidth="1"/>
    <col min="14344" max="14346" width="12.6640625" customWidth="1"/>
    <col min="14347" max="14348" width="15" customWidth="1"/>
    <col min="14349" max="14349" width="12.6640625" customWidth="1"/>
    <col min="14350" max="14350" width="5.5546875" customWidth="1"/>
    <col min="14594" max="14594" width="9" customWidth="1"/>
    <col min="14595" max="14598" width="18.6640625" customWidth="1"/>
    <col min="14599" max="14599" width="12.33203125" customWidth="1"/>
    <col min="14600" max="14602" width="12.6640625" customWidth="1"/>
    <col min="14603" max="14604" width="15" customWidth="1"/>
    <col min="14605" max="14605" width="12.6640625" customWidth="1"/>
    <col min="14606" max="14606" width="5.5546875" customWidth="1"/>
    <col min="14850" max="14850" width="9" customWidth="1"/>
    <col min="14851" max="14854" width="18.6640625" customWidth="1"/>
    <col min="14855" max="14855" width="12.33203125" customWidth="1"/>
    <col min="14856" max="14858" width="12.6640625" customWidth="1"/>
    <col min="14859" max="14860" width="15" customWidth="1"/>
    <col min="14861" max="14861" width="12.6640625" customWidth="1"/>
    <col min="14862" max="14862" width="5.5546875" customWidth="1"/>
    <col min="15106" max="15106" width="9" customWidth="1"/>
    <col min="15107" max="15110" width="18.6640625" customWidth="1"/>
    <col min="15111" max="15111" width="12.33203125" customWidth="1"/>
    <col min="15112" max="15114" width="12.6640625" customWidth="1"/>
    <col min="15115" max="15116" width="15" customWidth="1"/>
    <col min="15117" max="15117" width="12.6640625" customWidth="1"/>
    <col min="15118" max="15118" width="5.5546875" customWidth="1"/>
    <col min="15362" max="15362" width="9" customWidth="1"/>
    <col min="15363" max="15366" width="18.6640625" customWidth="1"/>
    <col min="15367" max="15367" width="12.33203125" customWidth="1"/>
    <col min="15368" max="15370" width="12.6640625" customWidth="1"/>
    <col min="15371" max="15372" width="15" customWidth="1"/>
    <col min="15373" max="15373" width="12.6640625" customWidth="1"/>
    <col min="15374" max="15374" width="5.5546875" customWidth="1"/>
    <col min="15618" max="15618" width="9" customWidth="1"/>
    <col min="15619" max="15622" width="18.6640625" customWidth="1"/>
    <col min="15623" max="15623" width="12.33203125" customWidth="1"/>
    <col min="15624" max="15626" width="12.6640625" customWidth="1"/>
    <col min="15627" max="15628" width="15" customWidth="1"/>
    <col min="15629" max="15629" width="12.6640625" customWidth="1"/>
    <col min="15630" max="15630" width="5.5546875" customWidth="1"/>
    <col min="15874" max="15874" width="9" customWidth="1"/>
    <col min="15875" max="15878" width="18.6640625" customWidth="1"/>
    <col min="15879" max="15879" width="12.33203125" customWidth="1"/>
    <col min="15880" max="15882" width="12.6640625" customWidth="1"/>
    <col min="15883" max="15884" width="15" customWidth="1"/>
    <col min="15885" max="15885" width="12.6640625" customWidth="1"/>
    <col min="15886" max="15886" width="5.5546875" customWidth="1"/>
    <col min="16130" max="16130" width="9" customWidth="1"/>
    <col min="16131" max="16134" width="18.6640625" customWidth="1"/>
    <col min="16135" max="16135" width="12.33203125" customWidth="1"/>
    <col min="16136" max="16138" width="12.6640625" customWidth="1"/>
    <col min="16139" max="16140" width="15" customWidth="1"/>
    <col min="16141" max="16141" width="12.6640625" customWidth="1"/>
    <col min="16142" max="16142" width="5.5546875" customWidth="1"/>
  </cols>
  <sheetData>
    <row r="1" spans="2:14" ht="18">
      <c r="B1" s="4" t="s">
        <v>294</v>
      </c>
      <c r="L1" s="82" t="s">
        <v>54</v>
      </c>
      <c r="M1" s="82" t="s">
        <v>291</v>
      </c>
    </row>
    <row r="2" spans="2:14" ht="18">
      <c r="L2" s="82" t="s">
        <v>55</v>
      </c>
      <c r="M2" s="82">
        <v>4</v>
      </c>
    </row>
    <row r="3" spans="2:14">
      <c r="B3" s="94" t="s">
        <v>345</v>
      </c>
      <c r="C3" s="335">
        <f>'App A Sh2-3'!C16</f>
        <v>1.7500000000000002E-2</v>
      </c>
      <c r="D3" s="88"/>
      <c r="E3" s="88"/>
    </row>
    <row r="4" spans="2:14">
      <c r="B4" s="94" t="str">
        <f>'App A Sh2-3'!B17</f>
        <v xml:space="preserve">Annual Δy = </v>
      </c>
      <c r="C4" s="242">
        <f>'App A Sh2-3'!C17</f>
        <v>1E-3</v>
      </c>
    </row>
    <row r="5" spans="2:14">
      <c r="C5" s="242"/>
    </row>
    <row r="6" spans="2:14" ht="28.8">
      <c r="B6" s="260" t="s">
        <v>5</v>
      </c>
      <c r="C6" s="336" t="s">
        <v>348</v>
      </c>
      <c r="D6" s="290" t="s">
        <v>325</v>
      </c>
      <c r="E6" s="338" t="s">
        <v>280</v>
      </c>
      <c r="F6" s="261" t="s">
        <v>281</v>
      </c>
      <c r="G6" s="94"/>
      <c r="H6" s="260" t="s">
        <v>304</v>
      </c>
      <c r="I6" s="336" t="s">
        <v>305</v>
      </c>
      <c r="J6" s="290" t="s">
        <v>311</v>
      </c>
      <c r="K6" s="336" t="s">
        <v>312</v>
      </c>
      <c r="L6"/>
      <c r="M6" s="89"/>
    </row>
    <row r="7" spans="2:14" s="90" customFormat="1">
      <c r="B7" s="262">
        <v>-1</v>
      </c>
      <c r="C7" s="337">
        <f>B7-1</f>
        <v>-2</v>
      </c>
      <c r="D7" s="263">
        <f>C7-1</f>
        <v>-3</v>
      </c>
      <c r="E7" s="337">
        <f>D7-1</f>
        <v>-4</v>
      </c>
      <c r="F7" s="264">
        <f>E7-1</f>
        <v>-5</v>
      </c>
      <c r="G7" s="94"/>
      <c r="H7" s="262">
        <v>-13</v>
      </c>
      <c r="I7" s="337">
        <f t="shared" ref="I7" si="0">H7-1</f>
        <v>-14</v>
      </c>
      <c r="J7" s="263">
        <f t="shared" ref="J7" si="1">I7-1</f>
        <v>-15</v>
      </c>
      <c r="K7" s="337">
        <f t="shared" ref="K7" si="2">J7-1</f>
        <v>-16</v>
      </c>
      <c r="N7"/>
    </row>
    <row r="8" spans="2:14" s="90" customFormat="1">
      <c r="B8" s="329"/>
      <c r="G8" s="86"/>
      <c r="N8"/>
    </row>
    <row r="9" spans="2:14" s="90" customFormat="1">
      <c r="B9" s="330" t="s">
        <v>11</v>
      </c>
      <c r="D9" s="241"/>
      <c r="E9" s="91"/>
      <c r="F9" s="241"/>
      <c r="G9" s="86"/>
      <c r="J9" s="241"/>
      <c r="K9" s="241"/>
      <c r="N9"/>
    </row>
    <row r="10" spans="2:14">
      <c r="B10" s="303">
        <f>'App A Sh2-3'!B61</f>
        <v>2016</v>
      </c>
      <c r="C10" s="339">
        <v>0.5</v>
      </c>
      <c r="D10" s="304">
        <f>'App A Sh2-3'!G7</f>
        <v>0.8</v>
      </c>
      <c r="E10" s="331">
        <f t="shared" ref="E10:E17" si="3">1/(1+$C$3)^C10</f>
        <v>0.99136319419321939</v>
      </c>
      <c r="F10" s="306">
        <f t="shared" ref="F10:F17" si="4">D10*$E10</f>
        <v>0.79309055535457551</v>
      </c>
      <c r="H10" s="364">
        <f>1/(1+$C$3-$C$4)^$C10</f>
        <v>0.99185070993165747</v>
      </c>
      <c r="I10" s="236">
        <f>1/(1+$C$3+$C$4)^$C10</f>
        <v>0.99087639662191229</v>
      </c>
      <c r="J10" s="367">
        <f t="shared" ref="J10:K17" si="5">H10*$D10</f>
        <v>0.79348056794532607</v>
      </c>
      <c r="K10" s="306">
        <f t="shared" si="5"/>
        <v>0.7927011172975299</v>
      </c>
      <c r="L10"/>
      <c r="M10" s="92"/>
    </row>
    <row r="11" spans="2:14">
      <c r="B11" s="291">
        <f>'App A Sh2-3'!B62</f>
        <v>2017</v>
      </c>
      <c r="C11" s="340">
        <f>C10+1</f>
        <v>1.5</v>
      </c>
      <c r="D11" s="293">
        <f>'App A Sh2-3'!G8-'App A Sh2-3'!G7</f>
        <v>0.14999999999999991</v>
      </c>
      <c r="E11" s="295">
        <f t="shared" si="3"/>
        <v>0.9743127215658175</v>
      </c>
      <c r="F11" s="297">
        <f t="shared" si="4"/>
        <v>0.14614690823487253</v>
      </c>
      <c r="H11" s="365">
        <f t="shared" ref="H11:H17" si="6">1/(1+$C$3-$C$4)^$C11</f>
        <v>0.97575082137890534</v>
      </c>
      <c r="I11" s="17">
        <f t="shared" ref="I11:I17" si="7">1/(1+$C$3+$C$4)^$C11</f>
        <v>0.97287815083152895</v>
      </c>
      <c r="J11" s="368">
        <f t="shared" si="5"/>
        <v>0.14636262320683571</v>
      </c>
      <c r="K11" s="297">
        <f t="shared" si="5"/>
        <v>0.14593172262472925</v>
      </c>
      <c r="L11"/>
      <c r="M11" s="92"/>
    </row>
    <row r="12" spans="2:14">
      <c r="B12" s="291">
        <f>'App A Sh2-3'!B63</f>
        <v>2018</v>
      </c>
      <c r="C12" s="340">
        <f t="shared" ref="C12:C17" si="8">C11+1</f>
        <v>2.5</v>
      </c>
      <c r="D12" s="293">
        <f>'App A Sh2-3'!G9-'App A Sh2-3'!G8</f>
        <v>5.0000000000000044E-2</v>
      </c>
      <c r="E12" s="295">
        <f t="shared" si="3"/>
        <v>0.95755550031038561</v>
      </c>
      <c r="F12" s="297">
        <f t="shared" si="4"/>
        <v>4.7877775015519326E-2</v>
      </c>
      <c r="H12" s="365">
        <f t="shared" si="6"/>
        <v>0.9599122689413726</v>
      </c>
      <c r="I12" s="17">
        <f t="shared" si="7"/>
        <v>0.95520682457685713</v>
      </c>
      <c r="J12" s="368">
        <f t="shared" si="5"/>
        <v>4.7995613447068673E-2</v>
      </c>
      <c r="K12" s="297">
        <f t="shared" si="5"/>
        <v>4.7760341228842901E-2</v>
      </c>
      <c r="L12"/>
      <c r="M12" s="92"/>
    </row>
    <row r="13" spans="2:14">
      <c r="B13" s="291">
        <f>'App A Sh2-3'!B64</f>
        <v>2019</v>
      </c>
      <c r="C13" s="340">
        <f t="shared" si="8"/>
        <v>3.5</v>
      </c>
      <c r="D13" s="293">
        <f>'App A Sh2-3'!G10-'App A Sh2-3'!G9</f>
        <v>0</v>
      </c>
      <c r="E13" s="295">
        <f t="shared" si="3"/>
        <v>0.94108648679153384</v>
      </c>
      <c r="F13" s="297">
        <f t="shared" si="4"/>
        <v>0</v>
      </c>
      <c r="H13" s="365">
        <f t="shared" si="6"/>
        <v>0.94433081056701662</v>
      </c>
      <c r="I13" s="17">
        <f t="shared" si="7"/>
        <v>0.93785647970236352</v>
      </c>
      <c r="J13" s="368">
        <f t="shared" si="5"/>
        <v>0</v>
      </c>
      <c r="K13" s="297">
        <f t="shared" si="5"/>
        <v>0</v>
      </c>
      <c r="L13"/>
      <c r="M13" s="92"/>
    </row>
    <row r="14" spans="2:14">
      <c r="B14" s="291">
        <f>'App A Sh2-3'!B65</f>
        <v>2020</v>
      </c>
      <c r="C14" s="340">
        <f t="shared" si="8"/>
        <v>4.5</v>
      </c>
      <c r="D14" s="293">
        <f>'App A Sh2-3'!G11-'App A Sh2-3'!G10</f>
        <v>0</v>
      </c>
      <c r="E14" s="295">
        <f t="shared" si="3"/>
        <v>0.92490072411944346</v>
      </c>
      <c r="F14" s="297">
        <f t="shared" si="4"/>
        <v>0</v>
      </c>
      <c r="H14" s="365">
        <f t="shared" si="6"/>
        <v>0.92900227306150163</v>
      </c>
      <c r="I14" s="17">
        <f t="shared" si="7"/>
        <v>0.92082128591297363</v>
      </c>
      <c r="J14" s="368">
        <f t="shared" si="5"/>
        <v>0</v>
      </c>
      <c r="K14" s="297">
        <f t="shared" si="5"/>
        <v>0</v>
      </c>
      <c r="L14"/>
      <c r="M14" s="92"/>
    </row>
    <row r="15" spans="2:14">
      <c r="B15" s="291">
        <f>'App A Sh2-3'!B66</f>
        <v>2021</v>
      </c>
      <c r="C15" s="340">
        <f t="shared" si="8"/>
        <v>5.5</v>
      </c>
      <c r="D15" s="293">
        <f>'App A Sh2-3'!G12-'App A Sh2-3'!G11</f>
        <v>0</v>
      </c>
      <c r="E15" s="295">
        <f t="shared" si="3"/>
        <v>0.90899334065792947</v>
      </c>
      <c r="F15" s="297">
        <f t="shared" si="4"/>
        <v>0</v>
      </c>
      <c r="H15" s="365">
        <f t="shared" si="6"/>
        <v>0.91392255097048847</v>
      </c>
      <c r="I15" s="17">
        <f t="shared" si="7"/>
        <v>0.90409551881489802</v>
      </c>
      <c r="J15" s="368">
        <f t="shared" si="5"/>
        <v>0</v>
      </c>
      <c r="K15" s="297">
        <f t="shared" si="5"/>
        <v>0</v>
      </c>
      <c r="L15"/>
      <c r="M15" s="92"/>
    </row>
    <row r="16" spans="2:14">
      <c r="B16" s="291">
        <f>'App A Sh2-3'!B67</f>
        <v>2022</v>
      </c>
      <c r="C16" s="340">
        <f t="shared" si="8"/>
        <v>6.5</v>
      </c>
      <c r="D16" s="293">
        <f>'App A Sh2-3'!G13-'App A Sh2-3'!G12</f>
        <v>0</v>
      </c>
      <c r="E16" s="295">
        <f t="shared" si="3"/>
        <v>0.89335954855816169</v>
      </c>
      <c r="F16" s="297">
        <f t="shared" si="4"/>
        <v>0</v>
      </c>
      <c r="H16" s="365">
        <f t="shared" si="6"/>
        <v>0.89908760548006705</v>
      </c>
      <c r="I16" s="17">
        <f t="shared" si="7"/>
        <v>0.88767355799204506</v>
      </c>
      <c r="J16" s="368">
        <f t="shared" si="5"/>
        <v>0</v>
      </c>
      <c r="K16" s="297">
        <f t="shared" si="5"/>
        <v>0</v>
      </c>
      <c r="L16"/>
      <c r="M16" s="92"/>
    </row>
    <row r="17" spans="2:13">
      <c r="B17" s="292">
        <f>B16+1</f>
        <v>2023</v>
      </c>
      <c r="C17" s="341">
        <f t="shared" si="8"/>
        <v>7.5</v>
      </c>
      <c r="D17" s="294">
        <f>'App A Sh2-3'!G14-'App A Sh2-3'!G13</f>
        <v>0</v>
      </c>
      <c r="E17" s="296">
        <f t="shared" si="3"/>
        <v>0.8779946423176036</v>
      </c>
      <c r="F17" s="298">
        <f t="shared" si="4"/>
        <v>0</v>
      </c>
      <c r="H17" s="366">
        <f t="shared" si="6"/>
        <v>0.88449346333503887</v>
      </c>
      <c r="I17" s="237">
        <f t="shared" si="7"/>
        <v>0.87154988511737375</v>
      </c>
      <c r="J17" s="369">
        <f t="shared" si="5"/>
        <v>0</v>
      </c>
      <c r="K17" s="298">
        <f t="shared" si="5"/>
        <v>0</v>
      </c>
      <c r="L17"/>
      <c r="M17" s="92"/>
    </row>
    <row r="18" spans="2:13">
      <c r="B18" s="300" t="s">
        <v>4</v>
      </c>
      <c r="C18" s="342"/>
      <c r="D18" s="301"/>
      <c r="E18" s="322"/>
      <c r="F18" s="321">
        <f>SUM(F10:F17)</f>
        <v>0.98711523860496742</v>
      </c>
      <c r="H18" s="353"/>
      <c r="I18" s="370"/>
      <c r="J18" s="299">
        <f>SUM(J10:J17)</f>
        <v>0.98783880459923046</v>
      </c>
      <c r="K18" s="302">
        <f>SUM(K10:K17)</f>
        <v>0.98639318115110208</v>
      </c>
      <c r="L18"/>
      <c r="M18" s="86"/>
    </row>
    <row r="19" spans="2:13">
      <c r="C19" s="267">
        <f>SUMPRODUCT(F10:F17,$C10:$C17)/F18</f>
        <v>0.74505999786588017</v>
      </c>
      <c r="D19" s="87" t="s">
        <v>326</v>
      </c>
      <c r="E19" s="255"/>
      <c r="F19" s="242"/>
      <c r="H19"/>
      <c r="I19"/>
      <c r="J19"/>
      <c r="K19"/>
      <c r="L19"/>
      <c r="M19" s="93"/>
    </row>
    <row r="20" spans="2:13">
      <c r="C20" s="267">
        <f>C19/(1+$C$3)</f>
        <v>0.73224569814828511</v>
      </c>
      <c r="D20" s="87" t="s">
        <v>327</v>
      </c>
      <c r="E20"/>
      <c r="F20"/>
      <c r="H20"/>
      <c r="I20"/>
      <c r="J20"/>
      <c r="K20"/>
      <c r="L20"/>
      <c r="M20" s="95"/>
    </row>
    <row r="21" spans="2:13">
      <c r="C21" s="267">
        <f>$C$10</f>
        <v>0.5</v>
      </c>
      <c r="D21" s="87" t="s">
        <v>332</v>
      </c>
      <c r="E21"/>
      <c r="F21"/>
      <c r="H21"/>
      <c r="I21"/>
      <c r="J21" s="267">
        <f>$C$10</f>
        <v>0.5</v>
      </c>
      <c r="K21" s="267">
        <f>$C$10</f>
        <v>0.5</v>
      </c>
      <c r="L21"/>
      <c r="M21" s="86"/>
    </row>
    <row r="22" spans="2:13">
      <c r="B22"/>
      <c r="C22" s="267">
        <f>1/3</f>
        <v>0.33333333333333331</v>
      </c>
      <c r="D22" s="87" t="s">
        <v>333</v>
      </c>
      <c r="E22"/>
      <c r="F22"/>
      <c r="H22" s="254"/>
      <c r="I22" s="254"/>
      <c r="J22" s="267">
        <f>1/3</f>
        <v>0.33333333333333331</v>
      </c>
      <c r="K22" s="267">
        <f>1/3</f>
        <v>0.33333333333333331</v>
      </c>
      <c r="L22"/>
      <c r="M22" s="97"/>
    </row>
    <row r="23" spans="2:13">
      <c r="B23"/>
      <c r="C23" s="267">
        <f>F$18*(1+$C$3)^(C21-C22)</f>
        <v>0.98997355314720148</v>
      </c>
      <c r="D23" s="87" t="s">
        <v>334</v>
      </c>
      <c r="E23"/>
      <c r="F23"/>
      <c r="H23" s="254"/>
      <c r="I23" s="254"/>
      <c r="J23" s="267">
        <f>J$18*(1+$C$3-'App A Sh2-3'!C$17)^(J21-J22)</f>
        <v>0.99053687113060529</v>
      </c>
      <c r="K23" s="267">
        <f>K$18*(1+$C$3+'App A Sh2-3'!C$17)^(K21-K22)</f>
        <v>0.98941137778572796</v>
      </c>
      <c r="L23"/>
      <c r="M23" s="95"/>
    </row>
    <row r="24" spans="2:13">
      <c r="B24"/>
      <c r="C24" s="267">
        <f>C19-(C21-C22)</f>
        <v>0.57839333119921355</v>
      </c>
      <c r="D24" s="87" t="s">
        <v>329</v>
      </c>
      <c r="E24"/>
      <c r="F24"/>
      <c r="H24"/>
      <c r="I24"/>
      <c r="J24" s="268" t="s">
        <v>331</v>
      </c>
      <c r="K24" s="286">
        <f>-(J23-K23)/(-C4-C4)/'App A Sh4'!C23</f>
        <v>0.56844616772806555</v>
      </c>
      <c r="L24"/>
      <c r="M24" s="95"/>
    </row>
    <row r="25" spans="2:13">
      <c r="B25"/>
      <c r="C25" s="286">
        <f>C24/(1+$C$3)</f>
        <v>0.5684455343481214</v>
      </c>
      <c r="D25" s="87" t="s">
        <v>330</v>
      </c>
      <c r="E25"/>
      <c r="F25"/>
      <c r="H25"/>
      <c r="I25"/>
      <c r="J25"/>
      <c r="L25"/>
      <c r="M25" s="95"/>
    </row>
    <row r="26" spans="2:13">
      <c r="B26"/>
      <c r="C26" s="343"/>
      <c r="D26" s="1"/>
      <c r="E26" s="1"/>
      <c r="F26"/>
      <c r="H26"/>
      <c r="I26"/>
      <c r="J26"/>
      <c r="L26"/>
    </row>
    <row r="27" spans="2:13">
      <c r="B27" s="332" t="s">
        <v>12</v>
      </c>
      <c r="C27" s="344"/>
      <c r="D27" s="240"/>
      <c r="E27" s="240"/>
      <c r="F27" s="333"/>
      <c r="H27" s="15"/>
      <c r="I27" s="15"/>
      <c r="J27" s="15"/>
      <c r="K27" s="333"/>
      <c r="L27"/>
    </row>
    <row r="28" spans="2:13">
      <c r="B28" s="291">
        <f>B10</f>
        <v>2016</v>
      </c>
      <c r="C28" s="340">
        <v>0.5</v>
      </c>
      <c r="D28" s="293">
        <f>'App A Sh2-3'!H7</f>
        <v>0.35</v>
      </c>
      <c r="E28" s="305">
        <f t="shared" ref="E28:E35" si="9">1/(1+$C$3)^C28</f>
        <v>0.99136319419321939</v>
      </c>
      <c r="F28" s="293">
        <f t="shared" ref="F28:F35" si="10">D28*$E10</f>
        <v>0.34697711796762676</v>
      </c>
      <c r="H28" s="17">
        <f>1/(1+$C$3-$C$4)^$C28</f>
        <v>0.99185070993165747</v>
      </c>
      <c r="I28" s="17">
        <f>1/(1+$C$3+$C$4)^$C28</f>
        <v>0.99087639662191229</v>
      </c>
      <c r="J28" s="297">
        <f t="shared" ref="J28:K35" si="11">H28*$D28</f>
        <v>0.3471477484760801</v>
      </c>
      <c r="K28" s="297">
        <f t="shared" si="11"/>
        <v>0.34680673881766927</v>
      </c>
      <c r="L28"/>
    </row>
    <row r="29" spans="2:13">
      <c r="B29" s="291">
        <f>B28+1</f>
        <v>2017</v>
      </c>
      <c r="C29" s="340">
        <f>C28+1</f>
        <v>1.5</v>
      </c>
      <c r="D29" s="293">
        <f>'App A Sh2-3'!H8-'App A Sh2-3'!H7</f>
        <v>0.33000000000000007</v>
      </c>
      <c r="E29" s="305">
        <f t="shared" si="9"/>
        <v>0.9743127215658175</v>
      </c>
      <c r="F29" s="293">
        <f t="shared" si="10"/>
        <v>0.32152319811671987</v>
      </c>
      <c r="H29" s="17">
        <f t="shared" ref="H29:H35" si="12">1/(1+$C$3-$C$4)^$C29</f>
        <v>0.97575082137890534</v>
      </c>
      <c r="I29" s="17">
        <f t="shared" ref="I29:I35" si="13">1/(1+$C$3+$C$4)^$C29</f>
        <v>0.97287815083152895</v>
      </c>
      <c r="J29" s="297">
        <f t="shared" si="11"/>
        <v>0.32199777105503885</v>
      </c>
      <c r="K29" s="297">
        <f t="shared" si="11"/>
        <v>0.32104978977440463</v>
      </c>
      <c r="L29"/>
    </row>
    <row r="30" spans="2:13">
      <c r="B30" s="291">
        <f t="shared" ref="B30:B35" si="14">B29+1</f>
        <v>2018</v>
      </c>
      <c r="C30" s="340">
        <f t="shared" ref="C30:C35" si="15">C29+1</f>
        <v>2.5</v>
      </c>
      <c r="D30" s="293">
        <f>'App A Sh2-3'!H9-'App A Sh2-3'!H8</f>
        <v>0.12</v>
      </c>
      <c r="E30" s="305">
        <f t="shared" si="9"/>
        <v>0.95755550031038561</v>
      </c>
      <c r="F30" s="293">
        <f t="shared" si="10"/>
        <v>0.11490666003724627</v>
      </c>
      <c r="H30" s="17">
        <f t="shared" si="12"/>
        <v>0.9599122689413726</v>
      </c>
      <c r="I30" s="17">
        <f t="shared" si="13"/>
        <v>0.95520682457685713</v>
      </c>
      <c r="J30" s="297">
        <f t="shared" si="11"/>
        <v>0.11518947227296471</v>
      </c>
      <c r="K30" s="297">
        <f t="shared" si="11"/>
        <v>0.11462481894922286</v>
      </c>
      <c r="L30"/>
    </row>
    <row r="31" spans="2:13">
      <c r="B31" s="291">
        <f t="shared" si="14"/>
        <v>2019</v>
      </c>
      <c r="C31" s="340">
        <f t="shared" si="15"/>
        <v>3.5</v>
      </c>
      <c r="D31" s="293">
        <f>'App A Sh2-3'!H10-'App A Sh2-3'!H9</f>
        <v>4.9999999999999933E-2</v>
      </c>
      <c r="E31" s="305">
        <f t="shared" si="9"/>
        <v>0.94108648679153384</v>
      </c>
      <c r="F31" s="293">
        <f t="shared" si="10"/>
        <v>4.7054324339576632E-2</v>
      </c>
      <c r="H31" s="17">
        <f t="shared" si="12"/>
        <v>0.94433081056701662</v>
      </c>
      <c r="I31" s="17">
        <f t="shared" si="13"/>
        <v>0.93785647970236352</v>
      </c>
      <c r="J31" s="297">
        <f t="shared" si="11"/>
        <v>4.7216540528350767E-2</v>
      </c>
      <c r="K31" s="297">
        <f t="shared" si="11"/>
        <v>4.6892823985118112E-2</v>
      </c>
      <c r="L31"/>
    </row>
    <row r="32" spans="2:13">
      <c r="B32" s="291">
        <f t="shared" si="14"/>
        <v>2020</v>
      </c>
      <c r="C32" s="340">
        <f t="shared" si="15"/>
        <v>4.5</v>
      </c>
      <c r="D32" s="293">
        <f>'App A Sh2-3'!H11-'App A Sh2-3'!H10</f>
        <v>5.0000000000000044E-2</v>
      </c>
      <c r="E32" s="305">
        <f t="shared" si="9"/>
        <v>0.92490072411944346</v>
      </c>
      <c r="F32" s="293">
        <f t="shared" si="10"/>
        <v>4.6245036205972215E-2</v>
      </c>
      <c r="H32" s="17">
        <f t="shared" si="12"/>
        <v>0.92900227306150163</v>
      </c>
      <c r="I32" s="17">
        <f t="shared" si="13"/>
        <v>0.92082128591297363</v>
      </c>
      <c r="J32" s="297">
        <f t="shared" si="11"/>
        <v>4.6450113653075123E-2</v>
      </c>
      <c r="K32" s="297">
        <f t="shared" si="11"/>
        <v>4.604106429564872E-2</v>
      </c>
      <c r="L32"/>
    </row>
    <row r="33" spans="2:12">
      <c r="B33" s="291">
        <f t="shared" si="14"/>
        <v>2021</v>
      </c>
      <c r="C33" s="340">
        <f t="shared" si="15"/>
        <v>5.5</v>
      </c>
      <c r="D33" s="293">
        <f>'App A Sh2-3'!H12-'App A Sh2-3'!H11</f>
        <v>4.9999999999999933E-2</v>
      </c>
      <c r="E33" s="305">
        <f t="shared" si="9"/>
        <v>0.90899334065792947</v>
      </c>
      <c r="F33" s="293">
        <f t="shared" si="10"/>
        <v>4.5449667032896414E-2</v>
      </c>
      <c r="H33" s="17">
        <f t="shared" si="12"/>
        <v>0.91392255097048847</v>
      </c>
      <c r="I33" s="17">
        <f t="shared" si="13"/>
        <v>0.90409551881489802</v>
      </c>
      <c r="J33" s="297">
        <f t="shared" si="11"/>
        <v>4.5696127548524361E-2</v>
      </c>
      <c r="K33" s="297">
        <f t="shared" si="11"/>
        <v>4.5204775940744839E-2</v>
      </c>
      <c r="L33"/>
    </row>
    <row r="34" spans="2:12">
      <c r="B34" s="291">
        <f t="shared" si="14"/>
        <v>2022</v>
      </c>
      <c r="C34" s="340">
        <f t="shared" si="15"/>
        <v>6.5</v>
      </c>
      <c r="D34" s="293">
        <f>'App A Sh2-3'!H13-'App A Sh2-3'!H12</f>
        <v>4.0000000000000036E-2</v>
      </c>
      <c r="E34" s="305">
        <f t="shared" si="9"/>
        <v>0.89335954855816169</v>
      </c>
      <c r="F34" s="293">
        <f t="shared" si="10"/>
        <v>3.5734381942326497E-2</v>
      </c>
      <c r="H34" s="17">
        <f t="shared" si="12"/>
        <v>0.89908760548006705</v>
      </c>
      <c r="I34" s="17">
        <f t="shared" si="13"/>
        <v>0.88767355799204506</v>
      </c>
      <c r="J34" s="297">
        <f t="shared" si="11"/>
        <v>3.5963504219202712E-2</v>
      </c>
      <c r="K34" s="297">
        <f t="shared" si="11"/>
        <v>3.5506942319681836E-2</v>
      </c>
      <c r="L34"/>
    </row>
    <row r="35" spans="2:12">
      <c r="B35" s="291">
        <f t="shared" si="14"/>
        <v>2023</v>
      </c>
      <c r="C35" s="340">
        <f t="shared" si="15"/>
        <v>7.5</v>
      </c>
      <c r="D35" s="293">
        <f>'App A Sh2-3'!H14-'App A Sh2-3'!H13</f>
        <v>1.0000000000000009E-2</v>
      </c>
      <c r="E35" s="305">
        <f t="shared" si="9"/>
        <v>0.8779946423176036</v>
      </c>
      <c r="F35" s="294">
        <f t="shared" si="10"/>
        <v>8.7799464231760431E-3</v>
      </c>
      <c r="H35" s="17">
        <f t="shared" si="12"/>
        <v>0.88449346333503887</v>
      </c>
      <c r="I35" s="17">
        <f t="shared" si="13"/>
        <v>0.87154988511737375</v>
      </c>
      <c r="J35" s="298">
        <f t="shared" si="11"/>
        <v>8.8449346333503969E-3</v>
      </c>
      <c r="K35" s="298">
        <f t="shared" si="11"/>
        <v>8.7154988511737447E-3</v>
      </c>
      <c r="L35"/>
    </row>
    <row r="36" spans="2:12">
      <c r="B36" s="300" t="s">
        <v>4</v>
      </c>
      <c r="C36" s="342"/>
      <c r="D36" s="301"/>
      <c r="E36" s="322"/>
      <c r="F36" s="321">
        <f>SUM(F28:F35)</f>
        <v>0.96667033206554065</v>
      </c>
      <c r="H36" s="313"/>
      <c r="I36" s="320"/>
      <c r="J36" s="299">
        <f>SUM(J28:J35)</f>
        <v>0.96850621238658696</v>
      </c>
      <c r="K36" s="302">
        <f>SUM(K28:K35)</f>
        <v>0.96484245293366389</v>
      </c>
      <c r="L36"/>
    </row>
    <row r="37" spans="2:12">
      <c r="B37"/>
      <c r="C37" s="267">
        <f>SUMPRODUCT(F28:F35,$C28:$C35)/F36</f>
        <v>1.9281951581823242</v>
      </c>
      <c r="D37" s="307" t="str">
        <f t="shared" ref="D37:D43" si="16">D19</f>
        <v>(6) Macaulay Duration</v>
      </c>
      <c r="E37" s="256"/>
      <c r="F37" s="93"/>
      <c r="H37"/>
      <c r="I37"/>
      <c r="J37" s="242"/>
      <c r="K37" s="242"/>
      <c r="L37"/>
    </row>
    <row r="38" spans="2:12">
      <c r="B38"/>
      <c r="C38" s="267">
        <f>C37/(1+$C$3)</f>
        <v>1.8950320964936846</v>
      </c>
      <c r="D38" s="307" t="str">
        <f t="shared" si="16"/>
        <v>(7) Modified Duration</v>
      </c>
      <c r="E38"/>
      <c r="F38"/>
      <c r="H38"/>
      <c r="I38"/>
      <c r="J38"/>
      <c r="K38"/>
      <c r="L38"/>
    </row>
    <row r="39" spans="2:12">
      <c r="B39"/>
      <c r="C39" s="267">
        <f>$C$10</f>
        <v>0.5</v>
      </c>
      <c r="D39" s="307" t="str">
        <f t="shared" si="16"/>
        <v>(8) Mean Accident Date of an AY</v>
      </c>
      <c r="E39"/>
      <c r="F39"/>
      <c r="H39"/>
      <c r="I39"/>
      <c r="J39" s="97">
        <f>$C$10</f>
        <v>0.5</v>
      </c>
      <c r="K39" s="267">
        <f>$C$10</f>
        <v>0.5</v>
      </c>
      <c r="L39"/>
    </row>
    <row r="40" spans="2:12">
      <c r="B40"/>
      <c r="C40" s="267">
        <f>C22</f>
        <v>0.33333333333333331</v>
      </c>
      <c r="D40" s="307" t="str">
        <f t="shared" si="16"/>
        <v>(9) Mean Accident Date of UPR</v>
      </c>
      <c r="E40"/>
      <c r="F40"/>
      <c r="H40"/>
      <c r="I40"/>
      <c r="J40" s="97">
        <f>1/3</f>
        <v>0.33333333333333331</v>
      </c>
      <c r="K40" s="267">
        <f>1/3</f>
        <v>0.33333333333333331</v>
      </c>
      <c r="L40"/>
    </row>
    <row r="41" spans="2:12">
      <c r="B41"/>
      <c r="C41" s="267">
        <f>F$36*(1+$C$3)^(C39-C40)</f>
        <v>0.96946944584641381</v>
      </c>
      <c r="D41" s="307" t="str">
        <f t="shared" si="16"/>
        <v>(10) Discount Factor at Time Zero of Prem Liab</v>
      </c>
      <c r="E41"/>
      <c r="F41"/>
      <c r="H41" s="254"/>
      <c r="I41" s="254"/>
      <c r="J41" s="267">
        <f>J$36*(1+$C$3-'App A Sh2-3'!C$17)^(J39-J40)</f>
        <v>0.97115147615320829</v>
      </c>
      <c r="K41" s="267">
        <f>K$36*(1+$C$3+'App A Sh2-3'!C$17)^(K39-K40)</f>
        <v>0.96779470797763145</v>
      </c>
      <c r="L41"/>
    </row>
    <row r="42" spans="2:12">
      <c r="B42"/>
      <c r="C42" s="267">
        <f>C37-(C39-C40)</f>
        <v>1.7615284915156575</v>
      </c>
      <c r="D42" s="307" t="str">
        <f t="shared" si="16"/>
        <v>(11) Macaulay Duration</v>
      </c>
      <c r="E42"/>
      <c r="F42"/>
      <c r="H42" s="254"/>
      <c r="I42" s="254"/>
      <c r="J42" s="269" t="str">
        <f>J24</f>
        <v>(17) Effective Duration:</v>
      </c>
      <c r="K42" s="286">
        <f>-(J41-K41)/(-C4-C4)/'App A Sh4'!C41</f>
        <v>1.7312397982002157</v>
      </c>
      <c r="L42"/>
    </row>
    <row r="43" spans="2:12">
      <c r="B43"/>
      <c r="C43" s="286">
        <f>C42/(1+$C$3)</f>
        <v>1.7312319326935208</v>
      </c>
      <c r="D43" s="307" t="str">
        <f t="shared" si="16"/>
        <v>(12) Modified Duration</v>
      </c>
      <c r="E43"/>
      <c r="F43"/>
      <c r="H43"/>
      <c r="I43"/>
      <c r="J43"/>
      <c r="K43"/>
      <c r="L43"/>
    </row>
    <row r="44" spans="2:12">
      <c r="B44"/>
      <c r="C44" s="343"/>
      <c r="D44" s="1"/>
      <c r="E44"/>
      <c r="F44"/>
      <c r="H44"/>
      <c r="I44"/>
      <c r="J44"/>
      <c r="L44"/>
    </row>
    <row r="45" spans="2:12">
      <c r="B45"/>
      <c r="C45" s="343"/>
      <c r="D45" s="1"/>
      <c r="E45" s="1"/>
      <c r="F45"/>
      <c r="H45"/>
      <c r="I45"/>
      <c r="J45"/>
      <c r="K45"/>
      <c r="L45"/>
    </row>
    <row r="46" spans="2:12">
      <c r="B46" s="332" t="s">
        <v>282</v>
      </c>
      <c r="C46" s="344"/>
      <c r="D46" s="240"/>
      <c r="E46" s="240"/>
      <c r="F46" s="333"/>
      <c r="H46" s="15"/>
      <c r="I46" s="15"/>
      <c r="J46" s="15"/>
      <c r="K46" s="15"/>
      <c r="L46"/>
    </row>
    <row r="47" spans="2:12">
      <c r="B47" s="334">
        <f>B28</f>
        <v>2016</v>
      </c>
      <c r="C47" s="345">
        <f>C28</f>
        <v>0.5</v>
      </c>
      <c r="D47" s="325">
        <v>1</v>
      </c>
      <c r="E47" s="305">
        <f t="shared" ref="E47:E48" si="17">1/(1+$C$3)^C47</f>
        <v>0.99136319419321939</v>
      </c>
      <c r="F47" s="293">
        <f>D47*$E10</f>
        <v>0.99136319419321939</v>
      </c>
      <c r="H47" s="17">
        <f>1/(1+$C$3-$C$4)^$C47</f>
        <v>0.99185070993165747</v>
      </c>
      <c r="I47" s="17">
        <f>1/(1+$C$3+$C$4)^$C47</f>
        <v>0.99087639662191229</v>
      </c>
      <c r="J47" s="297">
        <f t="shared" ref="J47:J48" si="18">H47*$D47</f>
        <v>0.99185070993165747</v>
      </c>
      <c r="K47" s="297">
        <f t="shared" ref="K47:K48" si="19">I47*$D47</f>
        <v>0.99087639662191229</v>
      </c>
      <c r="L47"/>
    </row>
    <row r="48" spans="2:12">
      <c r="B48" s="308">
        <f>B29</f>
        <v>2017</v>
      </c>
      <c r="C48" s="345">
        <f>C29</f>
        <v>1.5</v>
      </c>
      <c r="D48" s="325">
        <v>0</v>
      </c>
      <c r="E48" s="305">
        <f t="shared" si="17"/>
        <v>0.9743127215658175</v>
      </c>
      <c r="F48" s="294">
        <f>D48*$E11</f>
        <v>0</v>
      </c>
      <c r="H48" s="17">
        <f>1/(1+$C$3-$C$4)^$C48</f>
        <v>0.97575082137890534</v>
      </c>
      <c r="I48" s="17">
        <f>1/(1+$C$3+$C$4)^$C48</f>
        <v>0.97287815083152895</v>
      </c>
      <c r="J48" s="298">
        <f t="shared" si="18"/>
        <v>0</v>
      </c>
      <c r="K48" s="298">
        <f t="shared" si="19"/>
        <v>0</v>
      </c>
      <c r="L48"/>
    </row>
    <row r="49" spans="2:12">
      <c r="B49" s="323" t="s">
        <v>4</v>
      </c>
      <c r="C49" s="346"/>
      <c r="D49" s="326"/>
      <c r="E49" s="327"/>
      <c r="F49" s="324">
        <f>SUM(F47:F48)</f>
        <v>0.99136319419321939</v>
      </c>
      <c r="H49" s="313"/>
      <c r="I49" s="320"/>
      <c r="J49" s="328">
        <f>SUM(J47:J48)</f>
        <v>0.99185070993165747</v>
      </c>
      <c r="K49" s="309">
        <f>SUM(K47:K48)</f>
        <v>0.99087639662191229</v>
      </c>
      <c r="L49"/>
    </row>
    <row r="50" spans="2:12">
      <c r="B50"/>
      <c r="C50" s="267">
        <f>SUMPRODUCT(F47:F48,$C47:$C48)/F49</f>
        <v>0.5</v>
      </c>
      <c r="D50" s="307" t="str">
        <f t="shared" ref="D50:D56" si="20">D37</f>
        <v>(6) Macaulay Duration</v>
      </c>
      <c r="E50" s="1"/>
      <c r="F50" s="1"/>
      <c r="H50" s="93"/>
      <c r="I50" s="93"/>
      <c r="J50" s="93"/>
      <c r="K50" s="93"/>
      <c r="L50"/>
    </row>
    <row r="51" spans="2:12">
      <c r="B51"/>
      <c r="C51" s="267">
        <f>C50/(1+$C$3)</f>
        <v>0.49140049140049136</v>
      </c>
      <c r="D51" s="307" t="str">
        <f t="shared" si="20"/>
        <v>(7) Modified Duration</v>
      </c>
      <c r="E51" s="1"/>
      <c r="F51"/>
      <c r="H51"/>
      <c r="I51"/>
      <c r="J51"/>
      <c r="K51"/>
      <c r="L51"/>
    </row>
    <row r="52" spans="2:12">
      <c r="B52"/>
      <c r="C52" s="267">
        <f>$C$10</f>
        <v>0.5</v>
      </c>
      <c r="D52" s="307" t="str">
        <f t="shared" si="20"/>
        <v>(8) Mean Accident Date of an AY</v>
      </c>
      <c r="E52" s="1"/>
      <c r="F52"/>
      <c r="H52"/>
      <c r="I52"/>
      <c r="J52" s="97">
        <f>$C$10</f>
        <v>0.5</v>
      </c>
      <c r="K52" s="267">
        <f>$C$10</f>
        <v>0.5</v>
      </c>
      <c r="L52"/>
    </row>
    <row r="53" spans="2:12">
      <c r="B53"/>
      <c r="C53" s="267">
        <f>C40</f>
        <v>0.33333333333333331</v>
      </c>
      <c r="D53" s="307" t="str">
        <f t="shared" si="20"/>
        <v>(9) Mean Accident Date of UPR</v>
      </c>
      <c r="E53"/>
      <c r="F53"/>
      <c r="H53"/>
      <c r="I53"/>
      <c r="J53" s="97">
        <f>1/3</f>
        <v>0.33333333333333331</v>
      </c>
      <c r="K53" s="267">
        <f>1/3</f>
        <v>0.33333333333333331</v>
      </c>
      <c r="L53"/>
    </row>
    <row r="54" spans="2:12">
      <c r="B54"/>
      <c r="C54" s="267">
        <f>F$49*(1+$C$3)^(C52-C53)</f>
        <v>0.99423380921746174</v>
      </c>
      <c r="D54" s="307" t="str">
        <f t="shared" si="20"/>
        <v>(10) Discount Factor at Time Zero of Prem Liab</v>
      </c>
      <c r="E54"/>
      <c r="F54"/>
      <c r="H54"/>
      <c r="I54"/>
      <c r="J54" s="267">
        <f>J$49*(1+$C$3-'App A Sh2-3'!C$17)^(J52-J53)</f>
        <v>0.99455973410860576</v>
      </c>
      <c r="K54" s="267">
        <f>K$49*(1+$C$3+'App A Sh2-3'!C$17)^(K52-K53)</f>
        <v>0.99390831113912781</v>
      </c>
      <c r="L54"/>
    </row>
    <row r="55" spans="2:12">
      <c r="B55"/>
      <c r="C55" s="267">
        <f>C50-(C52-C53)</f>
        <v>0.33333333333333331</v>
      </c>
      <c r="D55" s="307" t="str">
        <f t="shared" si="20"/>
        <v>(11) Macaulay Duration</v>
      </c>
      <c r="E55"/>
      <c r="F55"/>
      <c r="H55"/>
      <c r="I55"/>
      <c r="J55" s="269" t="str">
        <f>J42</f>
        <v>(17) Effective Duration:</v>
      </c>
      <c r="K55" s="286">
        <f>-(J54-K54)/(-C4-C4)/C54</f>
        <v>0.32760049167442556</v>
      </c>
      <c r="L55"/>
    </row>
    <row r="56" spans="2:12">
      <c r="B56"/>
      <c r="C56" s="286">
        <f>C55/(1+$C$3)</f>
        <v>0.32760032760032753</v>
      </c>
      <c r="D56" s="307" t="str">
        <f t="shared" si="20"/>
        <v>(12) Modified Duration</v>
      </c>
      <c r="E56"/>
      <c r="F56"/>
      <c r="H56"/>
      <c r="I56"/>
      <c r="J56"/>
      <c r="K56"/>
      <c r="L56"/>
    </row>
    <row r="57" spans="2:12">
      <c r="B57"/>
      <c r="C57"/>
      <c r="D57"/>
      <c r="E57"/>
      <c r="F57"/>
      <c r="H57"/>
      <c r="I57"/>
      <c r="J57"/>
      <c r="K57"/>
      <c r="L57"/>
    </row>
    <row r="58" spans="2:12">
      <c r="B58"/>
      <c r="C58"/>
      <c r="D58"/>
      <c r="E58"/>
      <c r="F58"/>
      <c r="H58"/>
      <c r="I58"/>
      <c r="J58"/>
      <c r="K58"/>
      <c r="L58"/>
    </row>
    <row r="59" spans="2:12">
      <c r="B59"/>
      <c r="C59"/>
      <c r="D59"/>
      <c r="E59"/>
      <c r="F59"/>
      <c r="H59"/>
      <c r="I59"/>
      <c r="J59"/>
      <c r="K59"/>
      <c r="L59"/>
    </row>
    <row r="60" spans="2:12" ht="15" customHeight="1">
      <c r="B60"/>
      <c r="C60"/>
      <c r="D60"/>
      <c r="E60" s="94" t="s">
        <v>289</v>
      </c>
      <c r="F60" s="257" t="s">
        <v>315</v>
      </c>
      <c r="G60" s="94" t="s">
        <v>314</v>
      </c>
      <c r="H60" s="1" t="s">
        <v>4</v>
      </c>
      <c r="I60" s="1" t="s">
        <v>317</v>
      </c>
      <c r="J60" s="1" t="s">
        <v>31</v>
      </c>
      <c r="K60" s="1" t="s">
        <v>43</v>
      </c>
    </row>
    <row r="61" spans="2:12">
      <c r="B61"/>
      <c r="C61" s="98" t="s">
        <v>287</v>
      </c>
      <c r="D61" s="98" t="s">
        <v>288</v>
      </c>
      <c r="E61" s="96" t="s">
        <v>279</v>
      </c>
      <c r="F61" s="258" t="s">
        <v>316</v>
      </c>
      <c r="G61" s="96" t="s">
        <v>32</v>
      </c>
      <c r="H61" s="240" t="s">
        <v>45</v>
      </c>
      <c r="I61" s="240" t="s">
        <v>32</v>
      </c>
      <c r="J61" s="240" t="s">
        <v>29</v>
      </c>
      <c r="K61" s="240" t="s">
        <v>29</v>
      </c>
    </row>
    <row r="62" spans="2:12">
      <c r="B62" s="1" t="str">
        <f>B9</f>
        <v>Property</v>
      </c>
      <c r="C62" s="14">
        <f>'App A Sh2-3'!E18</f>
        <v>550</v>
      </c>
      <c r="D62" s="74">
        <f>'App A Sh2-3'!J18</f>
        <v>0.65</v>
      </c>
      <c r="E62" s="245">
        <f>D62*C62</f>
        <v>357.5</v>
      </c>
      <c r="F62" s="243">
        <f>C23</f>
        <v>0.98997355314720148</v>
      </c>
      <c r="G62" s="245">
        <f>E62*F62</f>
        <v>353.91554525012452</v>
      </c>
      <c r="H62" s="14">
        <v>12</v>
      </c>
      <c r="I62" s="362">
        <f>G62+H62</f>
        <v>365.91554525012452</v>
      </c>
      <c r="J62" s="270">
        <f>C25</f>
        <v>0.5684455343481214</v>
      </c>
      <c r="K62" s="271">
        <f>K24</f>
        <v>0.56844616772806555</v>
      </c>
    </row>
    <row r="63" spans="2:12">
      <c r="B63" s="1" t="str">
        <f>B27</f>
        <v>Liability</v>
      </c>
      <c r="C63" s="14">
        <f>'App A Sh2-3'!E19</f>
        <v>380</v>
      </c>
      <c r="D63" s="74">
        <f>'App A Sh2-3'!J19</f>
        <v>0.8</v>
      </c>
      <c r="E63" s="245">
        <f>D63*C63</f>
        <v>304</v>
      </c>
      <c r="F63" s="243">
        <f>C41</f>
        <v>0.96946944584641381</v>
      </c>
      <c r="G63" s="245">
        <f>E63*F63</f>
        <v>294.71871153730979</v>
      </c>
      <c r="H63" s="14">
        <v>51</v>
      </c>
      <c r="I63" s="362">
        <f>G63+H63</f>
        <v>345.71871153730979</v>
      </c>
      <c r="J63" s="270">
        <f>C43</f>
        <v>1.7312319326935208</v>
      </c>
      <c r="K63" s="271">
        <f>K42</f>
        <v>1.7312397982002157</v>
      </c>
    </row>
    <row r="64" spans="2:12">
      <c r="B64" s="1" t="s">
        <v>335</v>
      </c>
      <c r="C64" s="16"/>
      <c r="D64" s="75">
        <f>'App A Sh2-3'!E20</f>
        <v>3.5000000000000003E-2</v>
      </c>
      <c r="E64" s="246">
        <f>D64*C65</f>
        <v>32.550000000000004</v>
      </c>
      <c r="F64" s="244">
        <f>C54</f>
        <v>0.99423380921746174</v>
      </c>
      <c r="G64" s="246">
        <f>E64*F64</f>
        <v>32.362310490028385</v>
      </c>
      <c r="H64" s="16">
        <v>0</v>
      </c>
      <c r="I64" s="363">
        <f>G64+H64</f>
        <v>32.362310490028385</v>
      </c>
      <c r="J64" s="272">
        <f>C56</f>
        <v>0.32760032760032753</v>
      </c>
      <c r="K64" s="271">
        <f>K55</f>
        <v>0.32760049167442556</v>
      </c>
    </row>
    <row r="65" spans="2:12">
      <c r="B65" s="1" t="s">
        <v>4</v>
      </c>
      <c r="C65" s="14">
        <f>SUM(C62:C64)</f>
        <v>930</v>
      </c>
      <c r="D65" s="14" t="s">
        <v>203</v>
      </c>
      <c r="E65" s="245">
        <f>SUM(E62:E64)</f>
        <v>694.05</v>
      </c>
      <c r="F65" s="14" t="s">
        <v>203</v>
      </c>
      <c r="G65" s="245">
        <f>SUM(G62:G64)</f>
        <v>680.99656727746265</v>
      </c>
      <c r="H65" s="14">
        <f t="shared" ref="H65" si="21">SUM(H62:H64)</f>
        <v>63</v>
      </c>
      <c r="I65" s="349">
        <f>SUM(I62:I64)</f>
        <v>743.99656727746265</v>
      </c>
      <c r="J65" s="273">
        <f>SUMPRODUCT($I62:$I64,J62:J64)/$I65</f>
        <v>1.0982903285395726</v>
      </c>
      <c r="K65" s="274">
        <f>SUMPRODUCT($I62:$I64,K62:K64)/$I65</f>
        <v>1.0982943021146598</v>
      </c>
    </row>
    <row r="66" spans="2:12">
      <c r="B66"/>
      <c r="C66"/>
      <c r="D66"/>
      <c r="E66"/>
      <c r="F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 s="100" customFormat="1">
      <c r="B68" s="99" t="s">
        <v>290</v>
      </c>
      <c r="G68" s="259" t="s">
        <v>384</v>
      </c>
      <c r="H68" s="99"/>
    </row>
    <row r="69" spans="2:12" s="100" customFormat="1">
      <c r="B69" s="101" t="s">
        <v>328</v>
      </c>
      <c r="G69" s="259" t="s">
        <v>339</v>
      </c>
    </row>
    <row r="70" spans="2:12" s="100" customFormat="1">
      <c r="B70" s="101" t="s">
        <v>364</v>
      </c>
      <c r="G70" s="259" t="s">
        <v>366</v>
      </c>
      <c r="H70" s="99"/>
    </row>
    <row r="71" spans="2:12" s="100" customFormat="1">
      <c r="B71" s="99" t="s">
        <v>383</v>
      </c>
      <c r="G71" s="101" t="s">
        <v>367</v>
      </c>
    </row>
    <row r="72" spans="2:12" s="100" customFormat="1">
      <c r="B72" s="99" t="s">
        <v>336</v>
      </c>
      <c r="G72" s="101" t="s">
        <v>368</v>
      </c>
      <c r="H72" s="99"/>
    </row>
    <row r="73" spans="2:12" s="100" customFormat="1">
      <c r="B73" s="99" t="s">
        <v>365</v>
      </c>
      <c r="G73" s="99" t="s">
        <v>385</v>
      </c>
      <c r="H73" s="99"/>
    </row>
    <row r="74" spans="2:12" s="100" customFormat="1">
      <c r="B74" s="102" t="s">
        <v>337</v>
      </c>
      <c r="G74" s="99" t="s">
        <v>386</v>
      </c>
      <c r="H74" s="103"/>
    </row>
    <row r="75" spans="2:12" s="100" customFormat="1" ht="15" customHeight="1">
      <c r="B75" s="99" t="s">
        <v>338</v>
      </c>
      <c r="C75" s="99"/>
      <c r="D75" s="99"/>
      <c r="E75" s="99"/>
      <c r="F75" s="104"/>
      <c r="G75" s="24" t="s">
        <v>387</v>
      </c>
      <c r="H75" s="103"/>
    </row>
    <row r="77" spans="2:12">
      <c r="B77"/>
    </row>
    <row r="78" spans="2:12">
      <c r="B78"/>
    </row>
  </sheetData>
  <pageMargins left="0.70866141732283472" right="0.70866141732283472" top="0.74803149606299213" bottom="0.74803149606299213" header="0.31496062992125984" footer="0.31496062992125984"/>
  <pageSetup scale="6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view="pageLayout" zoomScaleNormal="75" zoomScaleSheetLayoutView="75" workbookViewId="0">
      <selection activeCell="A3" sqref="A3:F3"/>
    </sheetView>
  </sheetViews>
  <sheetFormatPr defaultColWidth="12.44140625" defaultRowHeight="15.6"/>
  <cols>
    <col min="1" max="1" width="42.44140625" style="110" customWidth="1"/>
    <col min="2" max="2" width="12.44140625" style="110"/>
    <col min="3" max="3" width="16.5546875" style="110" customWidth="1"/>
    <col min="4" max="4" width="12.44140625" style="110"/>
    <col min="5" max="5" width="15.44140625" style="110" customWidth="1"/>
    <col min="6" max="6" width="16" style="110" customWidth="1"/>
    <col min="7" max="7" width="3.44140625" style="110" customWidth="1"/>
    <col min="8" max="8" width="5.109375" style="110" customWidth="1"/>
    <col min="9" max="16384" width="12.44140625" style="110"/>
  </cols>
  <sheetData>
    <row r="1" spans="1:7" ht="18">
      <c r="A1" s="107"/>
      <c r="B1" s="108"/>
      <c r="C1" s="109"/>
      <c r="D1" s="109"/>
      <c r="E1" s="109"/>
      <c r="F1" s="82" t="s">
        <v>54</v>
      </c>
      <c r="G1" s="83" t="s">
        <v>291</v>
      </c>
    </row>
    <row r="2" spans="1:7" ht="18">
      <c r="A2" s="111"/>
      <c r="B2" s="112"/>
      <c r="C2" s="113"/>
      <c r="D2" s="113"/>
      <c r="E2" s="113"/>
      <c r="F2" s="82" t="s">
        <v>55</v>
      </c>
      <c r="G2" s="83">
        <v>5</v>
      </c>
    </row>
    <row r="3" spans="1:7" ht="18">
      <c r="A3" s="409" t="s">
        <v>56</v>
      </c>
      <c r="B3" s="409"/>
      <c r="C3" s="409"/>
      <c r="D3" s="409"/>
      <c r="E3" s="409"/>
      <c r="F3" s="409"/>
      <c r="G3" s="109"/>
    </row>
    <row r="4" spans="1:7" ht="29.25" customHeight="1">
      <c r="A4" s="229"/>
      <c r="B4" s="230"/>
      <c r="C4" s="230"/>
      <c r="D4" s="230"/>
      <c r="E4" s="230"/>
      <c r="F4" s="114">
        <v>2015</v>
      </c>
    </row>
    <row r="5" spans="1:7" ht="29.25" customHeight="1">
      <c r="A5" s="115"/>
      <c r="B5" s="116"/>
      <c r="C5" s="115"/>
      <c r="D5" s="115"/>
      <c r="E5" s="115"/>
      <c r="F5" s="117" t="s">
        <v>296</v>
      </c>
    </row>
    <row r="6" spans="1:7">
      <c r="A6" s="411" t="s">
        <v>57</v>
      </c>
      <c r="B6" s="412"/>
      <c r="C6" s="412"/>
      <c r="D6" s="412"/>
      <c r="E6" s="412"/>
      <c r="F6" s="412"/>
      <c r="G6" s="115"/>
    </row>
    <row r="7" spans="1:7">
      <c r="A7" s="413" t="s">
        <v>58</v>
      </c>
      <c r="B7" s="414"/>
      <c r="C7" s="414"/>
      <c r="D7" s="414"/>
      <c r="E7" s="414"/>
      <c r="F7" s="414"/>
      <c r="G7" s="118"/>
    </row>
    <row r="8" spans="1:7">
      <c r="A8" s="119"/>
      <c r="B8" s="119"/>
      <c r="C8" s="119"/>
      <c r="D8" s="119"/>
      <c r="E8" s="413" t="s">
        <v>47</v>
      </c>
      <c r="F8" s="414"/>
      <c r="G8" s="118"/>
    </row>
    <row r="9" spans="1:7" ht="16.2" thickBot="1">
      <c r="A9" s="119"/>
      <c r="B9" s="119"/>
      <c r="C9" s="119"/>
      <c r="D9" s="119"/>
      <c r="E9" s="120">
        <v>1.2500000000000001E-2</v>
      </c>
      <c r="F9" s="120">
        <v>-1.2500000000000001E-2</v>
      </c>
      <c r="G9" s="118"/>
    </row>
    <row r="10" spans="1:7" ht="16.5" customHeight="1" thickBot="1">
      <c r="A10" s="415" t="s">
        <v>59</v>
      </c>
      <c r="B10" s="416"/>
      <c r="C10" s="416"/>
      <c r="D10" s="416"/>
      <c r="E10" s="416"/>
      <c r="F10" s="417"/>
      <c r="G10" s="115"/>
    </row>
    <row r="11" spans="1:7">
      <c r="A11" s="121"/>
      <c r="B11" s="122"/>
      <c r="C11" s="123"/>
      <c r="D11" s="418" t="s">
        <v>60</v>
      </c>
      <c r="E11" s="418" t="s">
        <v>61</v>
      </c>
      <c r="F11" s="420" t="s">
        <v>62</v>
      </c>
      <c r="G11" s="115"/>
    </row>
    <row r="12" spans="1:7">
      <c r="A12" s="124"/>
      <c r="B12" s="122"/>
      <c r="C12" s="125" t="s">
        <v>63</v>
      </c>
      <c r="D12" s="419"/>
      <c r="E12" s="419"/>
      <c r="F12" s="421"/>
      <c r="G12" s="115"/>
    </row>
    <row r="13" spans="1:7">
      <c r="A13" s="124"/>
      <c r="B13" s="122"/>
      <c r="C13" s="126"/>
      <c r="D13" s="419"/>
      <c r="E13" s="419"/>
      <c r="F13" s="421"/>
      <c r="G13" s="115"/>
    </row>
    <row r="14" spans="1:7">
      <c r="A14" s="124"/>
      <c r="B14" s="122"/>
      <c r="C14" s="126"/>
      <c r="D14" s="127"/>
      <c r="E14" s="128"/>
      <c r="F14" s="129"/>
      <c r="G14" s="115"/>
    </row>
    <row r="15" spans="1:7">
      <c r="A15" s="130" t="s">
        <v>64</v>
      </c>
      <c r="B15" s="131"/>
      <c r="C15" s="132" t="s">
        <v>48</v>
      </c>
      <c r="D15" s="133" t="s">
        <v>49</v>
      </c>
      <c r="E15" s="134" t="s">
        <v>50</v>
      </c>
      <c r="F15" s="135" t="s">
        <v>51</v>
      </c>
      <c r="G15" s="115"/>
    </row>
    <row r="16" spans="1:7">
      <c r="A16" s="136" t="s">
        <v>65</v>
      </c>
      <c r="B16" s="137"/>
      <c r="C16" s="138"/>
      <c r="D16" s="139"/>
      <c r="E16" s="140"/>
      <c r="F16" s="141"/>
      <c r="G16" s="142"/>
    </row>
    <row r="17" spans="1:7">
      <c r="A17" s="143" t="s">
        <v>66</v>
      </c>
      <c r="B17" s="144" t="s">
        <v>67</v>
      </c>
      <c r="C17" s="145"/>
      <c r="D17" s="146"/>
      <c r="E17" s="147">
        <v>0</v>
      </c>
      <c r="F17" s="148">
        <v>0</v>
      </c>
      <c r="G17" s="142"/>
    </row>
    <row r="18" spans="1:7">
      <c r="A18" s="143" t="s">
        <v>68</v>
      </c>
      <c r="B18" s="149" t="s">
        <v>69</v>
      </c>
      <c r="C18" s="354">
        <f>'App A Sh1'!E74</f>
        <v>4415</v>
      </c>
      <c r="D18" s="277">
        <f>'App A Sh1'!F74</f>
        <v>1.5441458054761501</v>
      </c>
      <c r="E18" s="150">
        <f>ROUND(C18*D18*E$9,0)</f>
        <v>85</v>
      </c>
      <c r="F18" s="151">
        <f>ROUND(C18*D18*F9,0)</f>
        <v>-85</v>
      </c>
      <c r="G18" s="142"/>
    </row>
    <row r="19" spans="1:7">
      <c r="A19" s="143" t="s">
        <v>70</v>
      </c>
      <c r="B19" s="149" t="s">
        <v>71</v>
      </c>
      <c r="C19" s="355"/>
      <c r="D19" s="278"/>
      <c r="E19" s="147">
        <v>0</v>
      </c>
      <c r="F19" s="148">
        <v>0</v>
      </c>
      <c r="G19" s="142"/>
    </row>
    <row r="20" spans="1:7">
      <c r="A20" s="143" t="s">
        <v>72</v>
      </c>
      <c r="B20" s="149" t="s">
        <v>73</v>
      </c>
      <c r="C20" s="355"/>
      <c r="D20" s="278"/>
      <c r="E20" s="147">
        <v>0</v>
      </c>
      <c r="F20" s="148">
        <v>0</v>
      </c>
      <c r="G20" s="142"/>
    </row>
    <row r="21" spans="1:7">
      <c r="A21" s="143" t="s">
        <v>74</v>
      </c>
      <c r="B21" s="149" t="s">
        <v>75</v>
      </c>
      <c r="C21" s="355"/>
      <c r="D21" s="278"/>
      <c r="E21" s="147">
        <v>0</v>
      </c>
      <c r="F21" s="148">
        <v>0</v>
      </c>
      <c r="G21" s="142"/>
    </row>
    <row r="22" spans="1:7">
      <c r="A22" s="143" t="s">
        <v>76</v>
      </c>
      <c r="B22" s="149" t="s">
        <v>77</v>
      </c>
      <c r="C22" s="355"/>
      <c r="D22" s="278"/>
      <c r="E22" s="147">
        <v>0</v>
      </c>
      <c r="F22" s="148">
        <v>0</v>
      </c>
      <c r="G22" s="142"/>
    </row>
    <row r="23" spans="1:7">
      <c r="A23" s="143" t="s">
        <v>78</v>
      </c>
      <c r="B23" s="149" t="s">
        <v>79</v>
      </c>
      <c r="C23" s="355"/>
      <c r="D23" s="278"/>
      <c r="E23" s="147">
        <v>0</v>
      </c>
      <c r="F23" s="148">
        <v>0</v>
      </c>
      <c r="G23" s="142"/>
    </row>
    <row r="24" spans="1:7" ht="16.2" thickBot="1">
      <c r="A24" s="153" t="s">
        <v>80</v>
      </c>
      <c r="B24" s="154" t="s">
        <v>81</v>
      </c>
      <c r="C24" s="356"/>
      <c r="D24" s="278"/>
      <c r="E24" s="147">
        <v>0</v>
      </c>
      <c r="F24" s="148">
        <v>0</v>
      </c>
      <c r="G24" s="142"/>
    </row>
    <row r="25" spans="1:7" ht="16.2" thickBot="1">
      <c r="A25" s="155" t="s">
        <v>82</v>
      </c>
      <c r="B25" s="156" t="s">
        <v>83</v>
      </c>
      <c r="C25" s="357">
        <f>SUM(C18:C24)</f>
        <v>4415</v>
      </c>
      <c r="D25" s="279"/>
      <c r="E25" s="157">
        <f>SUM(E17:E24)</f>
        <v>85</v>
      </c>
      <c r="F25" s="158">
        <f>SUM(F17:F24)</f>
        <v>-85</v>
      </c>
      <c r="G25" s="115"/>
    </row>
    <row r="26" spans="1:7">
      <c r="A26" s="136" t="s">
        <v>84</v>
      </c>
      <c r="B26" s="159"/>
      <c r="C26" s="358"/>
      <c r="D26" s="280"/>
      <c r="E26" s="140"/>
      <c r="F26" s="141"/>
      <c r="G26" s="115"/>
    </row>
    <row r="27" spans="1:7" ht="15.75" customHeight="1">
      <c r="A27" s="143" t="s">
        <v>85</v>
      </c>
      <c r="B27" s="144" t="s">
        <v>86</v>
      </c>
      <c r="C27" s="359">
        <f>'App A Sh2-3'!H90</f>
        <v>938.49128997550531</v>
      </c>
      <c r="D27" s="281">
        <f>'App A Sh2-3'!I90</f>
        <v>1.6070355070977997</v>
      </c>
      <c r="E27" s="160">
        <f>ROUND(C27*D27*E$9,0)</f>
        <v>19</v>
      </c>
      <c r="F27" s="161">
        <f>ROUND(C27*D27*F9,0)</f>
        <v>-19</v>
      </c>
    </row>
    <row r="28" spans="1:7">
      <c r="A28" s="143" t="s">
        <v>87</v>
      </c>
      <c r="B28" s="149" t="s">
        <v>88</v>
      </c>
      <c r="C28" s="360">
        <f>'App A Sh4'!I65</f>
        <v>743.99656727746265</v>
      </c>
      <c r="D28" s="282">
        <f>'App A Sh4'!J65</f>
        <v>1.0982903285395726</v>
      </c>
      <c r="E28" s="162">
        <f>ROUND(C28*D28*E$9,0)</f>
        <v>10</v>
      </c>
      <c r="F28" s="163">
        <f>ROUND(C28*D28*F9,0)</f>
        <v>-10</v>
      </c>
    </row>
    <row r="29" spans="1:7" ht="16.2" thickBot="1">
      <c r="A29" s="143" t="s">
        <v>89</v>
      </c>
      <c r="B29" s="154" t="s">
        <v>90</v>
      </c>
      <c r="C29" s="356"/>
      <c r="D29" s="283"/>
      <c r="E29" s="147">
        <v>0</v>
      </c>
      <c r="F29" s="148">
        <v>0</v>
      </c>
      <c r="G29" s="115"/>
    </row>
    <row r="30" spans="1:7" ht="16.2" thickBot="1">
      <c r="A30" s="155" t="s">
        <v>91</v>
      </c>
      <c r="B30" s="156" t="s">
        <v>92</v>
      </c>
      <c r="C30" s="357">
        <f>C27+C28</f>
        <v>1682.4878572529678</v>
      </c>
      <c r="D30" s="164"/>
      <c r="E30" s="157">
        <f>E27+E28+E29</f>
        <v>29</v>
      </c>
      <c r="F30" s="158">
        <f>F27+F28+F29</f>
        <v>-29</v>
      </c>
      <c r="G30" s="115"/>
    </row>
    <row r="31" spans="1:7" ht="28.8">
      <c r="A31" s="165"/>
      <c r="B31" s="166"/>
      <c r="C31" s="167" t="s">
        <v>93</v>
      </c>
      <c r="D31" s="168"/>
      <c r="E31" s="169" t="s">
        <v>94</v>
      </c>
      <c r="F31" s="170" t="s">
        <v>95</v>
      </c>
      <c r="G31" s="115"/>
    </row>
    <row r="32" spans="1:7">
      <c r="A32" s="136" t="s">
        <v>96</v>
      </c>
      <c r="B32" s="166"/>
      <c r="C32" s="171" t="s">
        <v>97</v>
      </c>
      <c r="D32" s="172"/>
      <c r="E32" s="173" t="s">
        <v>98</v>
      </c>
      <c r="F32" s="174" t="s">
        <v>99</v>
      </c>
      <c r="G32" s="115"/>
    </row>
    <row r="33" spans="1:7" ht="15.75" customHeight="1">
      <c r="A33" s="143" t="s">
        <v>100</v>
      </c>
      <c r="B33" s="144" t="s">
        <v>101</v>
      </c>
      <c r="C33" s="152"/>
      <c r="D33" s="175"/>
      <c r="E33" s="176"/>
      <c r="F33" s="177"/>
      <c r="G33" s="142"/>
    </row>
    <row r="34" spans="1:7" ht="16.2" thickBot="1">
      <c r="A34" s="143" t="s">
        <v>102</v>
      </c>
      <c r="B34" s="154" t="s">
        <v>103</v>
      </c>
      <c r="C34" s="178"/>
      <c r="D34" s="179"/>
      <c r="E34" s="180"/>
      <c r="F34" s="177"/>
      <c r="G34" s="142"/>
    </row>
    <row r="35" spans="1:7" ht="16.2" thickBot="1">
      <c r="A35" s="155" t="s">
        <v>104</v>
      </c>
      <c r="B35" s="156" t="s">
        <v>105</v>
      </c>
      <c r="C35" s="181"/>
      <c r="D35" s="182"/>
      <c r="E35" s="157">
        <v>0</v>
      </c>
      <c r="F35" s="158">
        <v>0</v>
      </c>
      <c r="G35" s="115"/>
    </row>
    <row r="36" spans="1:7">
      <c r="A36" s="183" t="s">
        <v>106</v>
      </c>
      <c r="B36" s="149" t="s">
        <v>107</v>
      </c>
      <c r="C36" s="184"/>
      <c r="D36" s="185"/>
      <c r="E36" s="186">
        <f>E25-E30</f>
        <v>56</v>
      </c>
      <c r="F36" s="187"/>
      <c r="G36" s="115"/>
    </row>
    <row r="37" spans="1:7" ht="16.2" thickBot="1">
      <c r="A37" s="183" t="s">
        <v>108</v>
      </c>
      <c r="B37" s="154" t="s">
        <v>109</v>
      </c>
      <c r="C37" s="188"/>
      <c r="D37" s="189"/>
      <c r="E37" s="190"/>
      <c r="F37" s="191">
        <f>MAX(0,F25-F30)</f>
        <v>0</v>
      </c>
      <c r="G37" s="115"/>
    </row>
    <row r="38" spans="1:7" ht="16.2" thickBot="1">
      <c r="A38" s="192" t="s">
        <v>110</v>
      </c>
      <c r="B38" s="156" t="s">
        <v>111</v>
      </c>
      <c r="C38" s="193"/>
      <c r="D38" s="194"/>
      <c r="E38" s="195"/>
      <c r="F38" s="196">
        <f>E36</f>
        <v>56</v>
      </c>
      <c r="G38" s="115"/>
    </row>
    <row r="39" spans="1:7">
      <c r="A39" s="115"/>
      <c r="B39" s="116"/>
      <c r="C39" s="116"/>
      <c r="D39" s="116"/>
      <c r="E39" s="116"/>
      <c r="F39" s="116"/>
      <c r="G39" s="115"/>
    </row>
    <row r="40" spans="1:7">
      <c r="A40" s="197" t="s">
        <v>112</v>
      </c>
      <c r="B40" s="122"/>
      <c r="C40" s="115"/>
      <c r="D40" s="115"/>
      <c r="E40" s="410"/>
      <c r="F40" s="410"/>
      <c r="G40" s="410"/>
    </row>
    <row r="41" spans="1:7">
      <c r="A41" s="115"/>
      <c r="B41" s="116"/>
      <c r="C41" s="115"/>
      <c r="D41" s="115"/>
      <c r="E41" s="115"/>
      <c r="F41" s="198"/>
      <c r="G41" s="115"/>
    </row>
    <row r="42" spans="1:7">
      <c r="A42" s="115" t="s">
        <v>320</v>
      </c>
      <c r="B42" s="116"/>
      <c r="C42" s="115"/>
      <c r="D42" s="115"/>
      <c r="E42" s="115"/>
      <c r="F42" s="115"/>
      <c r="G42" s="115"/>
    </row>
    <row r="43" spans="1:7">
      <c r="A43" s="115" t="s">
        <v>318</v>
      </c>
      <c r="B43" s="116"/>
      <c r="C43" s="115"/>
      <c r="D43" s="115"/>
      <c r="E43" s="115"/>
      <c r="F43" s="115"/>
      <c r="G43" s="115"/>
    </row>
    <row r="44" spans="1:7">
      <c r="A44" s="115" t="s">
        <v>319</v>
      </c>
      <c r="B44" s="116"/>
      <c r="C44" s="115"/>
      <c r="D44" s="115"/>
      <c r="E44" s="115"/>
      <c r="F44" s="115"/>
      <c r="G44" s="115"/>
    </row>
    <row r="45" spans="1:7">
      <c r="A45" s="115"/>
      <c r="B45" s="116"/>
      <c r="C45" s="115"/>
      <c r="D45" s="115"/>
      <c r="E45" s="115"/>
      <c r="F45" s="115"/>
      <c r="G45" s="115"/>
    </row>
    <row r="46" spans="1:7">
      <c r="A46" s="115"/>
      <c r="B46" s="116"/>
      <c r="C46" s="115"/>
      <c r="D46" s="115"/>
      <c r="E46" s="115"/>
      <c r="F46" s="115"/>
      <c r="G46" s="115"/>
    </row>
    <row r="47" spans="1:7">
      <c r="A47" s="115"/>
      <c r="B47" s="116"/>
      <c r="C47" s="115"/>
      <c r="D47" s="115"/>
      <c r="E47" s="115"/>
      <c r="F47" s="115"/>
      <c r="G47" s="115"/>
    </row>
  </sheetData>
  <mergeCells count="9">
    <mergeCell ref="A3:F3"/>
    <mergeCell ref="E40:G40"/>
    <mergeCell ref="A6:F6"/>
    <mergeCell ref="A7:F7"/>
    <mergeCell ref="E8:F8"/>
    <mergeCell ref="A10:F10"/>
    <mergeCell ref="D11:D13"/>
    <mergeCell ref="E11:E13"/>
    <mergeCell ref="F11:F1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4294967295" verticalDpi="4294967295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824"/>
  <sheetViews>
    <sheetView view="pageLayout" topLeftCell="B1" zoomScaleNormal="100" zoomScaleSheetLayoutView="75" workbookViewId="0">
      <selection activeCell="A2" sqref="A2:O2"/>
    </sheetView>
  </sheetViews>
  <sheetFormatPr defaultColWidth="9.109375" defaultRowHeight="14.4"/>
  <cols>
    <col min="1" max="1" width="25.6640625" style="70" customWidth="1"/>
    <col min="2" max="4" width="13.6640625" style="70" customWidth="1"/>
    <col min="5" max="5" width="2.88671875" style="70" customWidth="1"/>
    <col min="6" max="8" width="16.44140625" style="70" customWidth="1"/>
    <col min="9" max="10" width="13.6640625" style="70" customWidth="1"/>
    <col min="11" max="11" width="3" style="70" customWidth="1"/>
    <col min="12" max="12" width="15.5546875" style="70" customWidth="1"/>
    <col min="13" max="13" width="15" style="70" customWidth="1"/>
    <col min="14" max="15" width="13.6640625" style="70" customWidth="1"/>
    <col min="16" max="16" width="3" style="70" customWidth="1"/>
    <col min="17" max="17" width="16.44140625" style="71" customWidth="1"/>
    <col min="18" max="18" width="20.109375" style="71" bestFit="1" customWidth="1"/>
    <col min="19" max="19" width="13.5546875" style="71" bestFit="1" customWidth="1"/>
    <col min="20" max="20" width="19.109375" style="71" bestFit="1" customWidth="1"/>
    <col min="21" max="16384" width="9.109375" style="70"/>
  </cols>
  <sheetData>
    <row r="1" spans="1:21" ht="18">
      <c r="A1" s="422" t="s">
        <v>216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Q1" s="70"/>
      <c r="R1" s="70"/>
      <c r="S1" s="70"/>
      <c r="T1" s="82" t="s">
        <v>357</v>
      </c>
      <c r="U1" s="83"/>
    </row>
    <row r="2" spans="1:21" ht="18">
      <c r="A2" s="423" t="s">
        <v>217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Q2" s="70"/>
      <c r="R2" s="70"/>
      <c r="S2" s="70"/>
      <c r="T2" s="82"/>
    </row>
    <row r="3" spans="1:21">
      <c r="A3" s="424" t="s">
        <v>359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199"/>
      <c r="Q3" s="199"/>
      <c r="R3" s="199"/>
      <c r="S3" s="199"/>
      <c r="T3" s="199"/>
    </row>
    <row r="4" spans="1:21">
      <c r="A4" s="424" t="s">
        <v>218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Q4" s="70"/>
      <c r="R4" s="70"/>
      <c r="S4" s="70"/>
      <c r="T4" s="70"/>
    </row>
    <row r="5" spans="1:21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</row>
    <row r="6" spans="1:21">
      <c r="A6" s="200"/>
      <c r="B6" s="200" t="s">
        <v>219</v>
      </c>
      <c r="C6" s="200"/>
      <c r="D6" s="200"/>
      <c r="E6" s="200"/>
      <c r="F6" s="200"/>
      <c r="G6" s="200"/>
      <c r="H6" s="200"/>
      <c r="I6" s="201">
        <v>0.01</v>
      </c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</row>
    <row r="7" spans="1:21">
      <c r="A7" s="200"/>
      <c r="B7" s="202" t="s">
        <v>220</v>
      </c>
      <c r="C7" s="200"/>
      <c r="D7" s="200"/>
      <c r="E7" s="200"/>
      <c r="F7" s="200"/>
      <c r="G7" s="200"/>
      <c r="H7" s="203" t="s">
        <v>221</v>
      </c>
      <c r="I7" s="201">
        <f>(1+IRR($D$18:$D$29,0.001))-1</f>
        <v>2.1525285195162613E-2</v>
      </c>
      <c r="J7" s="201" t="s">
        <v>203</v>
      </c>
      <c r="K7" s="204"/>
      <c r="L7" s="203"/>
      <c r="M7" s="205"/>
      <c r="N7" s="200"/>
      <c r="O7" s="200"/>
      <c r="P7" s="204"/>
      <c r="Q7" s="203"/>
      <c r="R7" s="203"/>
      <c r="S7" s="205"/>
      <c r="T7" s="200"/>
    </row>
    <row r="8" spans="1:21">
      <c r="A8" s="200"/>
      <c r="B8" s="202" t="s">
        <v>222</v>
      </c>
      <c r="C8" s="200"/>
      <c r="D8" s="200"/>
      <c r="E8" s="200"/>
      <c r="F8" s="200"/>
      <c r="G8" s="200"/>
      <c r="H8" s="200"/>
      <c r="I8" s="201">
        <v>2.5000000000000001E-3</v>
      </c>
      <c r="J8" s="200"/>
      <c r="K8" s="200"/>
      <c r="L8" s="200"/>
      <c r="M8" s="205"/>
      <c r="N8" s="200"/>
      <c r="O8" s="200"/>
      <c r="P8" s="200"/>
      <c r="Q8" s="200"/>
      <c r="R8" s="200"/>
      <c r="S8" s="205"/>
      <c r="T8" s="200"/>
    </row>
    <row r="9" spans="1:21">
      <c r="A9" s="200"/>
      <c r="B9" s="202" t="s">
        <v>223</v>
      </c>
      <c r="C9" s="200"/>
      <c r="D9" s="200"/>
      <c r="E9" s="200"/>
      <c r="F9" s="200"/>
      <c r="G9" s="200"/>
      <c r="H9" s="200"/>
      <c r="I9" s="201">
        <f>I7-I8</f>
        <v>1.9025285195162615E-2</v>
      </c>
      <c r="J9" s="200"/>
      <c r="K9" s="200"/>
      <c r="L9" s="200"/>
      <c r="M9" s="205"/>
      <c r="N9" s="200"/>
      <c r="O9" s="200"/>
      <c r="P9" s="206"/>
      <c r="Q9" s="200"/>
      <c r="R9" s="200"/>
      <c r="S9" s="205"/>
      <c r="T9" s="200"/>
    </row>
    <row r="10" spans="1:21" ht="1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7" t="s">
        <v>203</v>
      </c>
      <c r="M10" s="207"/>
      <c r="N10" s="200"/>
      <c r="O10" s="200"/>
      <c r="P10" s="200"/>
      <c r="Q10" s="207"/>
      <c r="R10" s="207"/>
      <c r="S10" s="207"/>
      <c r="T10" s="200"/>
    </row>
    <row r="11" spans="1:21">
      <c r="A11" s="200"/>
      <c r="B11" s="208" t="s">
        <v>224</v>
      </c>
      <c r="C11" s="209"/>
      <c r="D11" s="210"/>
      <c r="E11" s="200"/>
      <c r="F11" s="200"/>
      <c r="G11" s="200"/>
      <c r="H11" s="208" t="s">
        <v>225</v>
      </c>
      <c r="I11" s="209"/>
      <c r="J11" s="210"/>
      <c r="K11" s="200"/>
      <c r="L11" s="425" t="s">
        <v>226</v>
      </c>
      <c r="M11" s="426"/>
      <c r="N11" s="426"/>
      <c r="O11" s="427"/>
      <c r="P11" s="200"/>
      <c r="Q11" s="425" t="s">
        <v>227</v>
      </c>
      <c r="R11" s="426"/>
      <c r="S11" s="426"/>
      <c r="T11" s="427"/>
    </row>
    <row r="12" spans="1:21">
      <c r="A12" s="200"/>
      <c r="B12" s="211"/>
      <c r="C12" s="211"/>
      <c r="D12" s="211"/>
      <c r="E12" s="200"/>
      <c r="F12" s="211"/>
      <c r="G12" s="211"/>
      <c r="H12" s="211"/>
      <c r="I12" s="211"/>
      <c r="J12" s="211"/>
      <c r="K12" s="200"/>
      <c r="L12" s="212"/>
      <c r="M12" s="212"/>
      <c r="N12" s="200"/>
      <c r="O12" s="200"/>
      <c r="P12" s="200"/>
      <c r="Q12" s="212"/>
      <c r="R12" s="212"/>
      <c r="S12" s="212"/>
      <c r="T12" s="200"/>
    </row>
    <row r="13" spans="1:21">
      <c r="A13" s="213" t="s">
        <v>17</v>
      </c>
      <c r="B13" s="213" t="s">
        <v>18</v>
      </c>
      <c r="C13" s="213" t="s">
        <v>19</v>
      </c>
      <c r="D13" s="213" t="s">
        <v>20</v>
      </c>
      <c r="E13" s="213"/>
      <c r="F13" s="213" t="s">
        <v>297</v>
      </c>
      <c r="G13" s="213" t="s">
        <v>298</v>
      </c>
      <c r="H13" s="213" t="s">
        <v>21</v>
      </c>
      <c r="I13" s="213" t="s">
        <v>22</v>
      </c>
      <c r="J13" s="213" t="s">
        <v>228</v>
      </c>
      <c r="K13" s="200"/>
      <c r="L13" s="213" t="s">
        <v>229</v>
      </c>
      <c r="M13" s="213" t="s">
        <v>23</v>
      </c>
      <c r="N13" s="213" t="s">
        <v>24</v>
      </c>
      <c r="O13" s="213" t="s">
        <v>25</v>
      </c>
      <c r="P13" s="200"/>
      <c r="Q13" s="213" t="s">
        <v>26</v>
      </c>
      <c r="R13" s="213" t="s">
        <v>230</v>
      </c>
      <c r="S13" s="213" t="s">
        <v>231</v>
      </c>
      <c r="T13" s="213" t="s">
        <v>232</v>
      </c>
    </row>
    <row r="14" spans="1:21" s="215" customFormat="1" ht="13.8">
      <c r="A14" s="199"/>
      <c r="B14" s="199" t="s">
        <v>233</v>
      </c>
      <c r="C14" s="199" t="s">
        <v>234</v>
      </c>
      <c r="D14" s="199" t="s">
        <v>4</v>
      </c>
      <c r="E14" s="199"/>
      <c r="F14" s="232" t="s">
        <v>235</v>
      </c>
      <c r="G14" s="232" t="s">
        <v>235</v>
      </c>
      <c r="H14" s="199" t="s">
        <v>235</v>
      </c>
      <c r="I14" s="199" t="s">
        <v>236</v>
      </c>
      <c r="J14" s="199" t="s">
        <v>4</v>
      </c>
      <c r="K14" s="200"/>
      <c r="L14" s="199" t="s">
        <v>237</v>
      </c>
      <c r="M14" s="199" t="s">
        <v>238</v>
      </c>
      <c r="N14" s="199" t="s">
        <v>237</v>
      </c>
      <c r="O14" s="199" t="s">
        <v>238</v>
      </c>
      <c r="P14" s="200"/>
      <c r="Q14" s="199" t="s">
        <v>239</v>
      </c>
      <c r="R14" s="199" t="s">
        <v>240</v>
      </c>
      <c r="S14" s="199" t="s">
        <v>241</v>
      </c>
      <c r="T14" s="199" t="s">
        <v>242</v>
      </c>
    </row>
    <row r="15" spans="1:21" s="215" customFormat="1" ht="13.8">
      <c r="A15" s="199" t="s">
        <v>5</v>
      </c>
      <c r="B15" s="199" t="s">
        <v>243</v>
      </c>
      <c r="C15" s="199" t="s">
        <v>244</v>
      </c>
      <c r="D15" s="199" t="s">
        <v>245</v>
      </c>
      <c r="E15" s="199" t="s">
        <v>203</v>
      </c>
      <c r="F15" s="232" t="s">
        <v>278</v>
      </c>
      <c r="G15" s="232" t="s">
        <v>279</v>
      </c>
      <c r="H15" s="199" t="s">
        <v>246</v>
      </c>
      <c r="I15" s="199" t="s">
        <v>247</v>
      </c>
      <c r="J15" s="199" t="s">
        <v>248</v>
      </c>
      <c r="K15" s="200"/>
      <c r="L15" s="199" t="s">
        <v>249</v>
      </c>
      <c r="M15" s="199" t="s">
        <v>250</v>
      </c>
      <c r="N15" s="199" t="s">
        <v>251</v>
      </c>
      <c r="O15" s="199" t="s">
        <v>250</v>
      </c>
      <c r="P15" s="200"/>
      <c r="Q15" s="199" t="s">
        <v>252</v>
      </c>
      <c r="R15" s="216" t="s">
        <v>253</v>
      </c>
      <c r="S15" s="199" t="s">
        <v>254</v>
      </c>
      <c r="T15" s="199" t="s">
        <v>255</v>
      </c>
    </row>
    <row r="16" spans="1:21" s="215" customFormat="1" ht="13.8">
      <c r="A16" s="199"/>
      <c r="B16" s="217" t="s">
        <v>124</v>
      </c>
      <c r="C16" s="217" t="s">
        <v>256</v>
      </c>
      <c r="D16" s="216" t="s">
        <v>257</v>
      </c>
      <c r="E16" s="217"/>
      <c r="F16" s="218" t="s">
        <v>203</v>
      </c>
      <c r="G16" s="218" t="s">
        <v>203</v>
      </c>
      <c r="H16" s="217" t="s">
        <v>124</v>
      </c>
      <c r="I16" s="216" t="s">
        <v>258</v>
      </c>
      <c r="J16" s="216" t="s">
        <v>259</v>
      </c>
      <c r="K16" s="219"/>
      <c r="L16" s="216" t="s">
        <v>260</v>
      </c>
      <c r="M16" s="216" t="s">
        <v>261</v>
      </c>
      <c r="N16" s="216" t="s">
        <v>262</v>
      </c>
      <c r="O16" s="216" t="s">
        <v>263</v>
      </c>
      <c r="P16" s="219"/>
      <c r="Q16" s="216" t="s">
        <v>264</v>
      </c>
      <c r="R16" s="216" t="s">
        <v>265</v>
      </c>
      <c r="S16" s="216" t="s">
        <v>266</v>
      </c>
      <c r="T16" s="216" t="s">
        <v>267</v>
      </c>
    </row>
    <row r="17" spans="1:20" s="215" customFormat="1" ht="13.8">
      <c r="A17" s="213"/>
      <c r="B17" s="213"/>
      <c r="C17" s="213"/>
      <c r="D17" s="213"/>
      <c r="E17" s="213"/>
      <c r="F17" s="214"/>
      <c r="G17" s="214"/>
      <c r="H17" s="213"/>
      <c r="I17" s="213"/>
      <c r="J17" s="213"/>
      <c r="K17" s="200"/>
      <c r="L17" s="200"/>
      <c r="M17" s="200"/>
      <c r="O17" s="200"/>
      <c r="P17" s="200"/>
      <c r="Q17" s="200"/>
      <c r="R17" s="200"/>
      <c r="T17" s="200"/>
    </row>
    <row r="18" spans="1:20" s="215" customFormat="1" ht="13.8">
      <c r="A18" s="199" t="s">
        <v>268</v>
      </c>
      <c r="B18" s="220">
        <v>-349985</v>
      </c>
      <c r="C18" s="221">
        <f>-NPV(I6,C19:C29)</f>
        <v>8.1486801028362379E-2</v>
      </c>
      <c r="D18" s="220">
        <f>$B$18</f>
        <v>-349985</v>
      </c>
      <c r="E18" s="222"/>
      <c r="F18" s="223">
        <f>-NPV($I$9,F19:F29)</f>
        <v>-275864.51553817815</v>
      </c>
      <c r="G18" s="223">
        <f t="shared" ref="G18" si="0">-NPV($I$9,G19:G29)</f>
        <v>-43219.072093382827</v>
      </c>
      <c r="H18" s="223"/>
      <c r="I18" s="223"/>
      <c r="J18" s="220">
        <f>B18</f>
        <v>-349985</v>
      </c>
      <c r="K18" s="224"/>
      <c r="L18" s="224"/>
      <c r="M18" s="224"/>
      <c r="O18" s="224"/>
      <c r="P18" s="224"/>
      <c r="Q18" s="224"/>
      <c r="R18" s="224"/>
      <c r="T18" s="224"/>
    </row>
    <row r="19" spans="1:20" s="215" customFormat="1" ht="13.8">
      <c r="A19" s="199">
        <v>2016</v>
      </c>
      <c r="B19" s="220">
        <v>140959.5</v>
      </c>
      <c r="C19" s="220">
        <v>-10931.5</v>
      </c>
      <c r="D19" s="225">
        <f>B19+C19</f>
        <v>130028</v>
      </c>
      <c r="E19" s="225"/>
      <c r="F19" s="223">
        <v>110075</v>
      </c>
      <c r="G19" s="223">
        <v>19953</v>
      </c>
      <c r="H19" s="220">
        <f>F19+G19</f>
        <v>130028</v>
      </c>
      <c r="I19" s="220">
        <f>D19-H19</f>
        <v>0</v>
      </c>
      <c r="J19" s="225">
        <f>H19+I19</f>
        <v>130028</v>
      </c>
      <c r="K19" s="224"/>
      <c r="L19" s="220">
        <f>B19-H19</f>
        <v>10931.5</v>
      </c>
      <c r="M19" s="220">
        <f>L19</f>
        <v>10931.5</v>
      </c>
      <c r="N19" s="220">
        <f>D19-J19</f>
        <v>0</v>
      </c>
      <c r="O19" s="220">
        <f>N19</f>
        <v>0</v>
      </c>
      <c r="P19" s="224"/>
      <c r="Q19" s="220">
        <v>0</v>
      </c>
      <c r="R19" s="220">
        <f>+Q19*$I$6</f>
        <v>0</v>
      </c>
      <c r="S19" s="220">
        <f>-C19</f>
        <v>10931.5</v>
      </c>
      <c r="T19" s="220">
        <f>Q19+R19+S19</f>
        <v>10931.5</v>
      </c>
    </row>
    <row r="20" spans="1:20" s="215" customFormat="1" ht="13.8">
      <c r="A20" s="199">
        <f t="shared" ref="A20:A29" si="1">A19+1</f>
        <v>2017</v>
      </c>
      <c r="B20" s="220">
        <v>87732.5</v>
      </c>
      <c r="C20" s="220">
        <v>-15885.5</v>
      </c>
      <c r="D20" s="225">
        <f t="shared" ref="D20:D29" si="2">B20+C20</f>
        <v>71847</v>
      </c>
      <c r="E20" s="225"/>
      <c r="F20" s="223">
        <v>59385</v>
      </c>
      <c r="G20" s="223">
        <v>12462</v>
      </c>
      <c r="H20" s="220">
        <f t="shared" ref="H20:H29" si="3">F20+G20</f>
        <v>71847</v>
      </c>
      <c r="I20" s="220">
        <f t="shared" ref="I20:I29" si="4">D20-H20</f>
        <v>0</v>
      </c>
      <c r="J20" s="225">
        <f t="shared" ref="J20:J29" si="5">H20+I20</f>
        <v>71847</v>
      </c>
      <c r="K20" s="224"/>
      <c r="L20" s="220">
        <f t="shared" ref="L20:L29" si="6">B20-H20</f>
        <v>15885.5</v>
      </c>
      <c r="M20" s="220">
        <f>M19+L20</f>
        <v>26817</v>
      </c>
      <c r="N20" s="220">
        <f t="shared" ref="N20:N29" si="7">D20-J20</f>
        <v>0</v>
      </c>
      <c r="O20" s="220">
        <f>O19+N20</f>
        <v>0</v>
      </c>
      <c r="P20" s="224"/>
      <c r="Q20" s="220">
        <f t="shared" ref="Q20:Q29" si="8">T19</f>
        <v>10931.5</v>
      </c>
      <c r="R20" s="220">
        <f>+Q20*$I$6</f>
        <v>109.315</v>
      </c>
      <c r="S20" s="220">
        <f t="shared" ref="S20:S29" si="9">-C20</f>
        <v>15885.5</v>
      </c>
      <c r="T20" s="220">
        <f>Q20+R20+S20</f>
        <v>26926.315000000002</v>
      </c>
    </row>
    <row r="21" spans="1:20" s="215" customFormat="1" ht="13.8">
      <c r="A21" s="199">
        <f t="shared" si="1"/>
        <v>2018</v>
      </c>
      <c r="B21" s="220">
        <v>54772.5</v>
      </c>
      <c r="C21" s="220">
        <v>-7522.5</v>
      </c>
      <c r="D21" s="225">
        <f t="shared" si="2"/>
        <v>47250</v>
      </c>
      <c r="E21" s="225"/>
      <c r="F21" s="223">
        <v>41720</v>
      </c>
      <c r="G21" s="223">
        <v>5530</v>
      </c>
      <c r="H21" s="220">
        <f t="shared" si="3"/>
        <v>47250</v>
      </c>
      <c r="I21" s="220">
        <f t="shared" si="4"/>
        <v>0</v>
      </c>
      <c r="J21" s="225">
        <f t="shared" si="5"/>
        <v>47250</v>
      </c>
      <c r="K21" s="224"/>
      <c r="L21" s="220">
        <f t="shared" si="6"/>
        <v>7522.5</v>
      </c>
      <c r="M21" s="220">
        <f t="shared" ref="M21:M29" si="10">M20+L21</f>
        <v>34339.5</v>
      </c>
      <c r="N21" s="220">
        <f t="shared" si="7"/>
        <v>0</v>
      </c>
      <c r="O21" s="220">
        <f t="shared" ref="O21:O29" si="11">O20+N21</f>
        <v>0</v>
      </c>
      <c r="P21" s="224"/>
      <c r="Q21" s="220">
        <f t="shared" si="8"/>
        <v>26926.315000000002</v>
      </c>
      <c r="R21" s="220">
        <f t="shared" ref="R21:R29" si="12">+Q21*$I$6</f>
        <v>269.26315000000005</v>
      </c>
      <c r="S21" s="220">
        <f t="shared" si="9"/>
        <v>7522.5</v>
      </c>
      <c r="T21" s="220">
        <f t="shared" ref="T21:T29" si="13">Q21+R21+S21</f>
        <v>34718.078150000001</v>
      </c>
    </row>
    <row r="22" spans="1:20" s="215" customFormat="1" ht="13.8">
      <c r="A22" s="199">
        <f t="shared" si="1"/>
        <v>2019</v>
      </c>
      <c r="B22" s="220">
        <v>2647.5</v>
      </c>
      <c r="C22" s="220">
        <v>27825.5</v>
      </c>
      <c r="D22" s="225">
        <f t="shared" si="2"/>
        <v>30473</v>
      </c>
      <c r="E22" s="225"/>
      <c r="F22" s="223">
        <v>27400</v>
      </c>
      <c r="G22" s="223">
        <v>3073</v>
      </c>
      <c r="H22" s="220">
        <f t="shared" si="3"/>
        <v>30473</v>
      </c>
      <c r="I22" s="220">
        <f t="shared" si="4"/>
        <v>0</v>
      </c>
      <c r="J22" s="225">
        <f t="shared" si="5"/>
        <v>30473</v>
      </c>
      <c r="K22" s="224"/>
      <c r="L22" s="220">
        <f t="shared" si="6"/>
        <v>-27825.5</v>
      </c>
      <c r="M22" s="220">
        <f t="shared" si="10"/>
        <v>6514</v>
      </c>
      <c r="N22" s="220">
        <f t="shared" si="7"/>
        <v>0</v>
      </c>
      <c r="O22" s="220">
        <f t="shared" si="11"/>
        <v>0</v>
      </c>
      <c r="P22" s="224"/>
      <c r="Q22" s="220">
        <f t="shared" si="8"/>
        <v>34718.078150000001</v>
      </c>
      <c r="R22" s="220">
        <f t="shared" si="12"/>
        <v>347.18078150000002</v>
      </c>
      <c r="S22" s="220">
        <f t="shared" si="9"/>
        <v>-27825.5</v>
      </c>
      <c r="T22" s="220">
        <f t="shared" si="13"/>
        <v>7239.7589315000005</v>
      </c>
    </row>
    <row r="23" spans="1:20" s="215" customFormat="1" ht="13.8">
      <c r="A23" s="199">
        <f t="shared" si="1"/>
        <v>2020</v>
      </c>
      <c r="B23" s="220">
        <v>17647.5</v>
      </c>
      <c r="C23" s="220">
        <v>5974.5</v>
      </c>
      <c r="D23" s="225">
        <f t="shared" si="2"/>
        <v>23622</v>
      </c>
      <c r="E23" s="225"/>
      <c r="F23" s="223">
        <v>21665</v>
      </c>
      <c r="G23" s="223">
        <v>1957</v>
      </c>
      <c r="H23" s="220">
        <f t="shared" si="3"/>
        <v>23622</v>
      </c>
      <c r="I23" s="220">
        <f t="shared" si="4"/>
        <v>0</v>
      </c>
      <c r="J23" s="225">
        <f t="shared" si="5"/>
        <v>23622</v>
      </c>
      <c r="K23" s="224"/>
      <c r="L23" s="220">
        <f t="shared" si="6"/>
        <v>-5974.5</v>
      </c>
      <c r="M23" s="220">
        <f t="shared" si="10"/>
        <v>539.5</v>
      </c>
      <c r="N23" s="220">
        <f t="shared" si="7"/>
        <v>0</v>
      </c>
      <c r="O23" s="220">
        <f t="shared" si="11"/>
        <v>0</v>
      </c>
      <c r="P23" s="224"/>
      <c r="Q23" s="220">
        <f t="shared" si="8"/>
        <v>7239.7589315000005</v>
      </c>
      <c r="R23" s="220">
        <f t="shared" si="12"/>
        <v>72.397589315000005</v>
      </c>
      <c r="S23" s="220">
        <f t="shared" si="9"/>
        <v>-5974.5</v>
      </c>
      <c r="T23" s="220">
        <f t="shared" si="13"/>
        <v>1337.6565208150005</v>
      </c>
    </row>
    <row r="24" spans="1:20" s="215" customFormat="1" ht="13.8">
      <c r="A24" s="199">
        <f t="shared" si="1"/>
        <v>2021</v>
      </c>
      <c r="B24" s="220">
        <v>32032.5</v>
      </c>
      <c r="C24" s="220">
        <v>-6866.3</v>
      </c>
      <c r="D24" s="225">
        <f t="shared" si="2"/>
        <v>25166.2</v>
      </c>
      <c r="E24" s="225"/>
      <c r="F24" s="223">
        <v>12925</v>
      </c>
      <c r="G24" s="223">
        <v>1086</v>
      </c>
      <c r="H24" s="220">
        <f t="shared" si="3"/>
        <v>14011</v>
      </c>
      <c r="I24" s="220">
        <f t="shared" si="4"/>
        <v>11155.2</v>
      </c>
      <c r="J24" s="225">
        <f t="shared" si="5"/>
        <v>25166.2</v>
      </c>
      <c r="K24" s="224"/>
      <c r="L24" s="220">
        <f t="shared" si="6"/>
        <v>18021.5</v>
      </c>
      <c r="M24" s="220">
        <f t="shared" si="10"/>
        <v>18561</v>
      </c>
      <c r="N24" s="220">
        <f t="shared" si="7"/>
        <v>0</v>
      </c>
      <c r="O24" s="220">
        <f t="shared" si="11"/>
        <v>0</v>
      </c>
      <c r="P24" s="224"/>
      <c r="Q24" s="220">
        <f t="shared" si="8"/>
        <v>1337.6565208150005</v>
      </c>
      <c r="R24" s="220">
        <f t="shared" si="12"/>
        <v>13.376565208150005</v>
      </c>
      <c r="S24" s="220">
        <f t="shared" si="9"/>
        <v>6866.3</v>
      </c>
      <c r="T24" s="220">
        <f t="shared" si="13"/>
        <v>8217.3330860231508</v>
      </c>
    </row>
    <row r="25" spans="1:20" s="215" customFormat="1" ht="13.8">
      <c r="A25" s="199">
        <f t="shared" si="1"/>
        <v>2022</v>
      </c>
      <c r="B25" s="220">
        <v>892.49999999999989</v>
      </c>
      <c r="C25" s="220">
        <v>8298.5</v>
      </c>
      <c r="D25" s="225">
        <f t="shared" si="2"/>
        <v>9191</v>
      </c>
      <c r="E25" s="225"/>
      <c r="F25" s="223">
        <v>8715</v>
      </c>
      <c r="G25" s="223">
        <v>476</v>
      </c>
      <c r="H25" s="220">
        <f t="shared" si="3"/>
        <v>9191</v>
      </c>
      <c r="I25" s="220">
        <f t="shared" si="4"/>
        <v>0</v>
      </c>
      <c r="J25" s="225">
        <f t="shared" si="5"/>
        <v>9191</v>
      </c>
      <c r="K25" s="224"/>
      <c r="L25" s="220">
        <f t="shared" si="6"/>
        <v>-8298.5</v>
      </c>
      <c r="M25" s="220">
        <f t="shared" si="10"/>
        <v>10262.5</v>
      </c>
      <c r="N25" s="220">
        <f t="shared" si="7"/>
        <v>0</v>
      </c>
      <c r="O25" s="220">
        <f t="shared" si="11"/>
        <v>0</v>
      </c>
      <c r="P25" s="224"/>
      <c r="Q25" s="220">
        <f t="shared" si="8"/>
        <v>8217.3330860231508</v>
      </c>
      <c r="R25" s="220">
        <f t="shared" si="12"/>
        <v>82.173330860231516</v>
      </c>
      <c r="S25" s="220">
        <f t="shared" si="9"/>
        <v>-8298.5</v>
      </c>
      <c r="T25" s="220">
        <f t="shared" si="13"/>
        <v>1.006416883381462</v>
      </c>
    </row>
    <row r="26" spans="1:20" s="215" customFormat="1" ht="13.8">
      <c r="A26" s="199">
        <f t="shared" si="1"/>
        <v>2023</v>
      </c>
      <c r="B26" s="220">
        <v>35892.5</v>
      </c>
      <c r="C26" s="220">
        <v>-3390.8</v>
      </c>
      <c r="D26" s="225">
        <f t="shared" si="2"/>
        <v>32501.7</v>
      </c>
      <c r="E26" s="225"/>
      <c r="F26" s="223">
        <v>4875</v>
      </c>
      <c r="G26" s="223">
        <v>273</v>
      </c>
      <c r="H26" s="220">
        <f t="shared" si="3"/>
        <v>5148</v>
      </c>
      <c r="I26" s="220">
        <f t="shared" si="4"/>
        <v>27353.7</v>
      </c>
      <c r="J26" s="225">
        <f t="shared" si="5"/>
        <v>32501.7</v>
      </c>
      <c r="K26" s="224"/>
      <c r="L26" s="220">
        <f t="shared" si="6"/>
        <v>30744.5</v>
      </c>
      <c r="M26" s="220">
        <f t="shared" si="10"/>
        <v>41007</v>
      </c>
      <c r="N26" s="220">
        <f t="shared" si="7"/>
        <v>0</v>
      </c>
      <c r="O26" s="220">
        <f t="shared" si="11"/>
        <v>0</v>
      </c>
      <c r="P26" s="224"/>
      <c r="Q26" s="220">
        <f t="shared" si="8"/>
        <v>1.006416883381462</v>
      </c>
      <c r="R26" s="220">
        <f t="shared" si="12"/>
        <v>1.006416883381462E-2</v>
      </c>
      <c r="S26" s="220">
        <f t="shared" si="9"/>
        <v>3390.8</v>
      </c>
      <c r="T26" s="220">
        <f t="shared" si="13"/>
        <v>3391.8164810522153</v>
      </c>
    </row>
    <row r="27" spans="1:20" s="215" customFormat="1" ht="13.8">
      <c r="A27" s="199">
        <f t="shared" si="1"/>
        <v>2024</v>
      </c>
      <c r="B27" s="220">
        <v>0</v>
      </c>
      <c r="C27" s="220">
        <v>3010</v>
      </c>
      <c r="D27" s="225">
        <f t="shared" si="2"/>
        <v>3010</v>
      </c>
      <c r="E27" s="225"/>
      <c r="F27" s="223">
        <v>2895</v>
      </c>
      <c r="G27" s="223">
        <v>115</v>
      </c>
      <c r="H27" s="220">
        <f t="shared" si="3"/>
        <v>3010</v>
      </c>
      <c r="I27" s="220">
        <f t="shared" si="4"/>
        <v>0</v>
      </c>
      <c r="J27" s="225">
        <f t="shared" si="5"/>
        <v>3010</v>
      </c>
      <c r="K27" s="224"/>
      <c r="L27" s="220">
        <f t="shared" si="6"/>
        <v>-3010</v>
      </c>
      <c r="M27" s="220">
        <f t="shared" si="10"/>
        <v>37997</v>
      </c>
      <c r="N27" s="220">
        <f t="shared" si="7"/>
        <v>0</v>
      </c>
      <c r="O27" s="220">
        <f t="shared" si="11"/>
        <v>0</v>
      </c>
      <c r="P27" s="224"/>
      <c r="Q27" s="220">
        <f t="shared" si="8"/>
        <v>3391.8164810522153</v>
      </c>
      <c r="R27" s="220">
        <f t="shared" si="12"/>
        <v>33.918164810522157</v>
      </c>
      <c r="S27" s="220">
        <f t="shared" si="9"/>
        <v>-3010</v>
      </c>
      <c r="T27" s="220">
        <f t="shared" si="13"/>
        <v>415.73464586273758</v>
      </c>
    </row>
    <row r="28" spans="1:20" s="215" customFormat="1" ht="13.8">
      <c r="A28" s="199">
        <f t="shared" si="1"/>
        <v>2025</v>
      </c>
      <c r="B28" s="220">
        <v>0</v>
      </c>
      <c r="C28" s="220">
        <v>400</v>
      </c>
      <c r="D28" s="225">
        <f t="shared" si="2"/>
        <v>400</v>
      </c>
      <c r="E28" s="225"/>
      <c r="F28" s="223">
        <v>345</v>
      </c>
      <c r="G28" s="223">
        <v>55</v>
      </c>
      <c r="H28" s="220">
        <f t="shared" si="3"/>
        <v>400</v>
      </c>
      <c r="I28" s="220">
        <f t="shared" si="4"/>
        <v>0</v>
      </c>
      <c r="J28" s="225">
        <f t="shared" si="5"/>
        <v>400</v>
      </c>
      <c r="K28" s="224"/>
      <c r="L28" s="220">
        <f t="shared" si="6"/>
        <v>-400</v>
      </c>
      <c r="M28" s="220">
        <f t="shared" si="10"/>
        <v>37597</v>
      </c>
      <c r="N28" s="220">
        <f t="shared" si="7"/>
        <v>0</v>
      </c>
      <c r="O28" s="220">
        <f t="shared" si="11"/>
        <v>0</v>
      </c>
      <c r="P28" s="224"/>
      <c r="Q28" s="220">
        <f t="shared" si="8"/>
        <v>415.73464586273758</v>
      </c>
      <c r="R28" s="220">
        <f t="shared" si="12"/>
        <v>4.1573464586273756</v>
      </c>
      <c r="S28" s="220">
        <f t="shared" si="9"/>
        <v>-400</v>
      </c>
      <c r="T28" s="220">
        <f t="shared" si="13"/>
        <v>19.891992321364967</v>
      </c>
    </row>
    <row r="29" spans="1:20" s="215" customFormat="1" ht="13.8">
      <c r="A29" s="199">
        <f t="shared" si="1"/>
        <v>2026</v>
      </c>
      <c r="B29" s="220">
        <v>0</v>
      </c>
      <c r="C29" s="220">
        <v>20</v>
      </c>
      <c r="D29" s="225">
        <f t="shared" si="2"/>
        <v>20</v>
      </c>
      <c r="E29" s="225"/>
      <c r="F29" s="223">
        <v>0</v>
      </c>
      <c r="G29" s="223">
        <v>20</v>
      </c>
      <c r="H29" s="220">
        <f t="shared" si="3"/>
        <v>20</v>
      </c>
      <c r="I29" s="220">
        <f t="shared" si="4"/>
        <v>0</v>
      </c>
      <c r="J29" s="225">
        <f t="shared" si="5"/>
        <v>20</v>
      </c>
      <c r="K29" s="224"/>
      <c r="L29" s="220">
        <f t="shared" si="6"/>
        <v>-20</v>
      </c>
      <c r="M29" s="220">
        <f t="shared" si="10"/>
        <v>37577</v>
      </c>
      <c r="N29" s="220">
        <f t="shared" si="7"/>
        <v>0</v>
      </c>
      <c r="O29" s="220">
        <f t="shared" si="11"/>
        <v>0</v>
      </c>
      <c r="P29" s="224"/>
      <c r="Q29" s="220">
        <f t="shared" si="8"/>
        <v>19.891992321364967</v>
      </c>
      <c r="R29" s="220">
        <f t="shared" si="12"/>
        <v>0.19891992321364968</v>
      </c>
      <c r="S29" s="220">
        <f t="shared" si="9"/>
        <v>-20</v>
      </c>
      <c r="T29" s="220">
        <f t="shared" si="13"/>
        <v>9.0912244578618129E-2</v>
      </c>
    </row>
    <row r="30" spans="1:20" s="215" customFormat="1" ht="13.8">
      <c r="A30" s="199" t="s">
        <v>203</v>
      </c>
      <c r="B30" s="225"/>
      <c r="C30" s="226"/>
      <c r="D30" s="225"/>
      <c r="E30" s="225"/>
      <c r="F30" s="227"/>
      <c r="G30" s="227"/>
      <c r="H30" s="225"/>
      <c r="I30" s="225"/>
      <c r="J30" s="225"/>
      <c r="K30" s="224"/>
      <c r="L30" s="224"/>
      <c r="M30" s="224"/>
      <c r="O30" s="224"/>
      <c r="P30" s="224"/>
      <c r="Q30" s="220"/>
      <c r="R30" s="220"/>
      <c r="S30" s="220"/>
      <c r="T30" s="220"/>
    </row>
    <row r="31" spans="1:20">
      <c r="A31" s="199" t="s">
        <v>269</v>
      </c>
      <c r="B31" s="225">
        <f>SUM(B19:B29)</f>
        <v>372577</v>
      </c>
      <c r="C31" s="225">
        <f>SUM(C19:C29)</f>
        <v>931.89999999999964</v>
      </c>
      <c r="D31" s="225">
        <f>SUM(D19:D29)</f>
        <v>373508.9</v>
      </c>
      <c r="E31" s="225"/>
      <c r="F31" s="227">
        <f t="shared" ref="F31:G31" si="14">SUM(F19:F29)</f>
        <v>290000</v>
      </c>
      <c r="G31" s="227">
        <f t="shared" si="14"/>
        <v>45000</v>
      </c>
      <c r="H31" s="225">
        <f>SUM(H19:H29)</f>
        <v>335000</v>
      </c>
      <c r="I31" s="225">
        <f>SUM(I19:I29)</f>
        <v>38508.9</v>
      </c>
      <c r="J31" s="225">
        <f>SUM(J19:J29)</f>
        <v>373508.9</v>
      </c>
      <c r="K31" s="224"/>
      <c r="L31" s="220">
        <f>SUM(L19:L29)</f>
        <v>37577</v>
      </c>
      <c r="M31" s="220"/>
      <c r="N31" s="220">
        <f>SUM(N19:N29)</f>
        <v>0</v>
      </c>
      <c r="O31" s="220"/>
      <c r="P31" s="224"/>
      <c r="Q31" s="220"/>
      <c r="R31" s="220"/>
      <c r="S31" s="220"/>
      <c r="T31" s="220"/>
    </row>
    <row r="32" spans="1:20">
      <c r="A32" s="200"/>
      <c r="B32" s="224"/>
      <c r="C32" s="224"/>
      <c r="D32" s="224"/>
      <c r="E32" s="224"/>
      <c r="F32" s="228"/>
      <c r="G32" s="228"/>
      <c r="H32" s="224"/>
      <c r="I32" s="224"/>
      <c r="J32" s="224"/>
      <c r="K32" s="224"/>
      <c r="L32" s="224"/>
      <c r="M32" s="224"/>
      <c r="N32" s="224"/>
      <c r="P32" s="224"/>
      <c r="Q32" s="224"/>
      <c r="R32" s="224"/>
      <c r="S32" s="224"/>
      <c r="T32" s="224"/>
    </row>
    <row r="33" spans="1:20">
      <c r="Q33" s="220"/>
      <c r="R33" s="220"/>
      <c r="S33" s="220"/>
      <c r="T33" s="220"/>
    </row>
    <row r="34" spans="1:20" s="72" customFormat="1">
      <c r="A34" s="373" t="s">
        <v>301</v>
      </c>
      <c r="B34" s="374"/>
      <c r="C34" s="374"/>
      <c r="D34" s="374"/>
      <c r="E34" s="374"/>
      <c r="F34" s="374"/>
      <c r="G34" s="374"/>
    </row>
    <row r="35" spans="1:20" s="72" customFormat="1">
      <c r="A35" s="375"/>
      <c r="B35" s="374"/>
      <c r="C35" s="374"/>
      <c r="D35" s="374"/>
      <c r="E35" s="374"/>
      <c r="F35" s="374"/>
      <c r="G35" s="374"/>
    </row>
    <row r="36" spans="1:20" s="72" customFormat="1">
      <c r="A36" s="376" t="s">
        <v>369</v>
      </c>
      <c r="B36" s="372">
        <f>IRR(B$18:B$29,0.001)</f>
        <v>2.2570780018936532E-2</v>
      </c>
      <c r="C36" s="374"/>
      <c r="D36" s="374"/>
      <c r="E36" s="374"/>
      <c r="F36" s="372">
        <f t="shared" ref="F36:G36" si="15">IRR(F$18:F$29,0.001)</f>
        <v>1.9025285195162667E-2</v>
      </c>
      <c r="G36" s="372">
        <f t="shared" si="15"/>
        <v>1.9025285195137798E-2</v>
      </c>
    </row>
    <row r="37" spans="1:20" s="72" customFormat="1">
      <c r="A37" s="375"/>
      <c r="B37" s="374"/>
      <c r="C37" s="374"/>
      <c r="D37" s="374"/>
      <c r="E37" s="374"/>
      <c r="F37" s="374"/>
      <c r="G37" s="374"/>
    </row>
    <row r="38" spans="1:20" s="72" customFormat="1">
      <c r="A38" s="376" t="s">
        <v>277</v>
      </c>
      <c r="B38" s="374" t="s">
        <v>276</v>
      </c>
      <c r="C38" s="374"/>
      <c r="D38" s="374"/>
      <c r="E38" s="374"/>
      <c r="F38" s="374"/>
      <c r="G38" s="374"/>
    </row>
    <row r="39" spans="1:20" s="72" customFormat="1">
      <c r="A39" s="376">
        <v>1</v>
      </c>
      <c r="B39" s="377">
        <f>(1+B$36)^-$A39</f>
        <v>0.97792741543180162</v>
      </c>
      <c r="C39" s="374"/>
      <c r="D39" s="374"/>
      <c r="E39" s="374"/>
      <c r="F39" s="377">
        <f t="shared" ref="F39:G49" si="16">(1+F$36)^-$A39</f>
        <v>0.9813299184312988</v>
      </c>
      <c r="G39" s="377">
        <f t="shared" si="16"/>
        <v>0.98132991843132278</v>
      </c>
    </row>
    <row r="40" spans="1:20" s="72" customFormat="1">
      <c r="A40" s="376">
        <f>A39+1</f>
        <v>2</v>
      </c>
      <c r="B40" s="377">
        <f t="shared" ref="B40:B49" si="17">(1+B$36)^-$A40</f>
        <v>0.95634202985312367</v>
      </c>
      <c r="C40" s="374"/>
      <c r="D40" s="374"/>
      <c r="E40" s="374"/>
      <c r="F40" s="377">
        <f t="shared" si="16"/>
        <v>0.96300840880837946</v>
      </c>
      <c r="G40" s="377">
        <f t="shared" si="16"/>
        <v>0.96300840880842664</v>
      </c>
    </row>
    <row r="41" spans="1:20" s="72" customFormat="1">
      <c r="A41" s="376">
        <f t="shared" ref="A41:A49" si="18">A40+1</f>
        <v>3</v>
      </c>
      <c r="B41" s="377">
        <f t="shared" si="17"/>
        <v>0.93523308952306816</v>
      </c>
      <c r="C41" s="374"/>
      <c r="D41" s="374"/>
      <c r="E41" s="374"/>
      <c r="F41" s="377">
        <f t="shared" si="16"/>
        <v>0.94502896326458186</v>
      </c>
      <c r="G41" s="377">
        <f t="shared" si="16"/>
        <v>0.94502896326465124</v>
      </c>
    </row>
    <row r="42" spans="1:20" s="72" customFormat="1">
      <c r="A42" s="376">
        <f t="shared" si="18"/>
        <v>4</v>
      </c>
      <c r="B42" s="377">
        <f t="shared" si="17"/>
        <v>0.91459007806359283</v>
      </c>
      <c r="C42" s="374"/>
      <c r="D42" s="374"/>
      <c r="E42" s="374"/>
      <c r="F42" s="377">
        <f t="shared" si="16"/>
        <v>0.92738519543564701</v>
      </c>
      <c r="G42" s="377">
        <f t="shared" si="16"/>
        <v>0.92738519543573772</v>
      </c>
    </row>
    <row r="43" spans="1:20" s="72" customFormat="1">
      <c r="A43" s="376">
        <f t="shared" si="18"/>
        <v>5</v>
      </c>
      <c r="B43" s="377">
        <f t="shared" si="17"/>
        <v>0.89440271122029902</v>
      </c>
      <c r="C43" s="374"/>
      <c r="D43" s="374"/>
      <c r="E43" s="374"/>
      <c r="F43" s="377">
        <f t="shared" si="16"/>
        <v>0.91007083819125756</v>
      </c>
      <c r="G43" s="377">
        <f t="shared" si="16"/>
        <v>0.9100708381913688</v>
      </c>
    </row>
    <row r="44" spans="1:20" s="72" customFormat="1">
      <c r="A44" s="376">
        <f t="shared" si="18"/>
        <v>6</v>
      </c>
      <c r="B44" s="377">
        <f t="shared" si="17"/>
        <v>0.87466093173886317</v>
      </c>
      <c r="C44" s="374"/>
      <c r="D44" s="374"/>
      <c r="E44" s="374"/>
      <c r="F44" s="377">
        <f t="shared" si="16"/>
        <v>0.89307974140893054</v>
      </c>
      <c r="G44" s="377">
        <f t="shared" si="16"/>
        <v>0.89307974140906154</v>
      </c>
    </row>
    <row r="45" spans="1:20" s="72" customFormat="1">
      <c r="A45" s="376">
        <f t="shared" si="18"/>
        <v>7</v>
      </c>
      <c r="B45" s="377">
        <f t="shared" si="17"/>
        <v>0.85535490435455808</v>
      </c>
      <c r="C45" s="374"/>
      <c r="D45" s="374"/>
      <c r="E45" s="374"/>
      <c r="F45" s="377">
        <f t="shared" si="16"/>
        <v>0.8764058697894711</v>
      </c>
      <c r="G45" s="377">
        <f t="shared" si="16"/>
        <v>0.87640586978962121</v>
      </c>
    </row>
    <row r="46" spans="1:20" s="72" customFormat="1">
      <c r="A46" s="376">
        <f t="shared" si="18"/>
        <v>8</v>
      </c>
      <c r="B46" s="377">
        <f t="shared" si="17"/>
        <v>0.83647501089236886</v>
      </c>
      <c r="C46" s="374"/>
      <c r="D46" s="374"/>
      <c r="E46" s="374"/>
      <c r="F46" s="377">
        <f t="shared" si="16"/>
        <v>0.86004330071321322</v>
      </c>
      <c r="G46" s="377">
        <f t="shared" si="16"/>
        <v>0.86004330071338153</v>
      </c>
    </row>
    <row r="47" spans="1:20" s="72" customFormat="1">
      <c r="A47" s="376">
        <f t="shared" si="18"/>
        <v>9</v>
      </c>
      <c r="B47" s="377">
        <f t="shared" si="17"/>
        <v>0.8180118454752624</v>
      </c>
      <c r="C47" s="374"/>
      <c r="D47" s="374"/>
      <c r="E47" s="374"/>
      <c r="F47" s="377">
        <f t="shared" si="16"/>
        <v>0.84398622213628249</v>
      </c>
      <c r="G47" s="377">
        <f t="shared" si="16"/>
        <v>0.84398622213646834</v>
      </c>
    </row>
    <row r="48" spans="1:20" s="72" customFormat="1">
      <c r="A48" s="376">
        <f t="shared" si="18"/>
        <v>10</v>
      </c>
      <c r="B48" s="377">
        <f t="shared" si="17"/>
        <v>0.79995620983822169</v>
      </c>
      <c r="C48" s="374"/>
      <c r="D48" s="374"/>
      <c r="E48" s="374"/>
      <c r="F48" s="377">
        <f t="shared" si="16"/>
        <v>0.82822893052613811</v>
      </c>
      <c r="G48" s="377">
        <f t="shared" si="16"/>
        <v>0.82822893052634072</v>
      </c>
    </row>
    <row r="49" spans="1:20" s="72" customFormat="1">
      <c r="A49" s="376">
        <f t="shared" si="18"/>
        <v>11</v>
      </c>
      <c r="B49" s="377">
        <f t="shared" si="17"/>
        <v>0.78229910874571229</v>
      </c>
      <c r="C49" s="374"/>
      <c r="D49" s="374"/>
      <c r="E49" s="374"/>
      <c r="F49" s="377">
        <f t="shared" si="16"/>
        <v>0.81276582883565673</v>
      </c>
      <c r="G49" s="377">
        <f t="shared" si="16"/>
        <v>0.81276582883587567</v>
      </c>
    </row>
    <row r="50" spans="1:20">
      <c r="A50" s="200"/>
      <c r="B50" s="200"/>
      <c r="C50" s="374"/>
      <c r="D50" s="374"/>
      <c r="E50" s="200"/>
      <c r="F50" s="200"/>
      <c r="G50" s="200"/>
      <c r="Q50" s="70"/>
      <c r="R50" s="70"/>
      <c r="S50" s="70"/>
      <c r="T50" s="70"/>
    </row>
    <row r="51" spans="1:20">
      <c r="A51" s="200" t="s">
        <v>349</v>
      </c>
      <c r="B51" s="378">
        <f>-SUMPRODUCT(B19:B29,B39:B49,$A39:$A49)/B18</f>
        <v>2.7474547974844046</v>
      </c>
      <c r="C51" s="378"/>
      <c r="D51" s="378"/>
      <c r="E51" s="200"/>
      <c r="F51" s="378">
        <f>-SUMPRODUCT(F19:F29,F39:F49,$A39:$A49)/F18</f>
        <v>2.6172763745079939</v>
      </c>
      <c r="G51" s="378">
        <f>-SUMPRODUCT(G19:G29,G39:G49,$A39:$A49)/G18</f>
        <v>2.1215327431373123</v>
      </c>
      <c r="Q51" s="70"/>
      <c r="R51" s="70"/>
      <c r="S51" s="70"/>
      <c r="T51" s="70"/>
    </row>
    <row r="52" spans="1:20">
      <c r="A52" s="200" t="s">
        <v>2</v>
      </c>
      <c r="B52" s="379">
        <f>B51/(1+B36)</f>
        <v>2.6868113691196278</v>
      </c>
      <c r="C52" s="378"/>
      <c r="D52" s="378"/>
      <c r="E52" s="200"/>
      <c r="F52" s="379">
        <f t="shared" ref="F52:G52" si="19">F51/(1+F36)</f>
        <v>2.568411611108095</v>
      </c>
      <c r="G52" s="379">
        <f t="shared" si="19"/>
        <v>2.0819235537723193</v>
      </c>
      <c r="Q52" s="70"/>
      <c r="R52" s="70"/>
      <c r="S52" s="70"/>
      <c r="T52" s="70"/>
    </row>
    <row r="53" spans="1:20">
      <c r="A53" s="200"/>
      <c r="B53" s="200"/>
      <c r="C53" s="200"/>
      <c r="D53" s="200"/>
      <c r="E53" s="200"/>
      <c r="F53" s="200"/>
      <c r="G53" s="200"/>
      <c r="Q53" s="70"/>
      <c r="R53" s="70"/>
      <c r="S53" s="70"/>
      <c r="T53" s="70"/>
    </row>
    <row r="54" spans="1:20">
      <c r="Q54" s="70"/>
      <c r="R54" s="70"/>
      <c r="S54" s="70"/>
      <c r="T54" s="70"/>
    </row>
    <row r="55" spans="1:20">
      <c r="Q55" s="70"/>
      <c r="R55" s="70"/>
      <c r="S55" s="70"/>
      <c r="T55" s="70"/>
    </row>
    <row r="56" spans="1:20">
      <c r="Q56" s="70"/>
      <c r="R56" s="70"/>
      <c r="S56" s="70"/>
      <c r="T56" s="70"/>
    </row>
    <row r="57" spans="1:20">
      <c r="A57" s="371" t="s">
        <v>356</v>
      </c>
      <c r="Q57" s="70"/>
      <c r="R57" s="70"/>
      <c r="S57" s="70"/>
      <c r="T57" s="70"/>
    </row>
    <row r="58" spans="1:20">
      <c r="A58" s="72" t="s">
        <v>358</v>
      </c>
      <c r="Q58" s="70"/>
      <c r="R58" s="70"/>
      <c r="S58" s="70"/>
      <c r="T58" s="70"/>
    </row>
    <row r="59" spans="1:20">
      <c r="A59" s="231" t="s">
        <v>299</v>
      </c>
      <c r="Q59" s="70"/>
      <c r="R59" s="70"/>
      <c r="S59" s="70"/>
      <c r="T59" s="70"/>
    </row>
    <row r="60" spans="1:20">
      <c r="A60" s="231" t="s">
        <v>300</v>
      </c>
      <c r="Q60" s="70"/>
      <c r="R60" s="70"/>
      <c r="S60" s="70"/>
      <c r="T60" s="70"/>
    </row>
    <row r="61" spans="1:20">
      <c r="A61" s="231" t="s">
        <v>355</v>
      </c>
      <c r="Q61" s="70"/>
      <c r="R61" s="70"/>
      <c r="S61" s="70"/>
      <c r="T61" s="70"/>
    </row>
    <row r="62" spans="1:20">
      <c r="Q62" s="70"/>
      <c r="R62" s="70"/>
      <c r="S62" s="70"/>
      <c r="T62" s="70"/>
    </row>
    <row r="63" spans="1:20">
      <c r="Q63" s="70"/>
      <c r="R63" s="70"/>
      <c r="S63" s="70"/>
      <c r="T63" s="70"/>
    </row>
    <row r="64" spans="1:20">
      <c r="Q64" s="70"/>
      <c r="R64" s="70"/>
      <c r="S64" s="70"/>
      <c r="T64" s="70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  <row r="76" s="70" customFormat="1"/>
    <row r="77" s="70" customFormat="1"/>
    <row r="78" s="70" customFormat="1"/>
    <row r="79" s="70" customFormat="1"/>
    <row r="80" s="70" customFormat="1"/>
    <row r="81" s="70" customFormat="1"/>
    <row r="82" s="70" customFormat="1"/>
    <row r="83" s="70" customFormat="1"/>
    <row r="84" s="70" customFormat="1"/>
    <row r="85" s="70" customFormat="1"/>
    <row r="86" s="70" customFormat="1"/>
    <row r="87" s="70" customFormat="1"/>
    <row r="88" s="70" customFormat="1"/>
    <row r="89" s="70" customFormat="1"/>
    <row r="90" s="70" customFormat="1"/>
    <row r="91" s="70" customFormat="1"/>
    <row r="92" s="70" customFormat="1"/>
    <row r="93" s="70" customFormat="1"/>
    <row r="94" s="70" customFormat="1"/>
    <row r="95" s="70" customFormat="1"/>
    <row r="96" s="70" customFormat="1"/>
    <row r="97" s="70" customFormat="1"/>
    <row r="98" s="70" customFormat="1"/>
    <row r="99" s="70" customFormat="1"/>
    <row r="100" s="70" customFormat="1"/>
    <row r="101" s="70" customFormat="1"/>
    <row r="102" s="70" customFormat="1"/>
    <row r="103" s="70" customFormat="1"/>
    <row r="104" s="70" customFormat="1"/>
    <row r="105" s="70" customFormat="1"/>
    <row r="106" s="70" customFormat="1"/>
    <row r="107" s="70" customFormat="1"/>
    <row r="108" s="70" customFormat="1"/>
    <row r="109" s="70" customFormat="1"/>
    <row r="110" s="70" customFormat="1"/>
    <row r="111" s="70" customFormat="1"/>
    <row r="112" s="70" customFormat="1"/>
    <row r="113" s="70" customFormat="1"/>
    <row r="114" s="70" customFormat="1"/>
    <row r="115" s="70" customFormat="1"/>
    <row r="116" s="70" customFormat="1"/>
    <row r="117" s="70" customFormat="1"/>
    <row r="118" s="70" customFormat="1"/>
    <row r="119" s="70" customFormat="1"/>
    <row r="120" s="70" customFormat="1"/>
    <row r="121" s="70" customFormat="1"/>
    <row r="122" s="70" customFormat="1"/>
    <row r="123" s="70" customFormat="1"/>
    <row r="124" s="70" customFormat="1"/>
    <row r="125" s="70" customFormat="1"/>
    <row r="126" s="70" customFormat="1"/>
    <row r="127" s="70" customFormat="1"/>
    <row r="128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  <row r="503" s="70" customFormat="1"/>
    <row r="504" s="70" customFormat="1"/>
    <row r="505" s="70" customFormat="1"/>
    <row r="506" s="70" customFormat="1"/>
    <row r="507" s="70" customFormat="1"/>
    <row r="508" s="70" customFormat="1"/>
    <row r="509" s="70" customFormat="1"/>
    <row r="510" s="70" customFormat="1"/>
    <row r="511" s="70" customFormat="1"/>
    <row r="512" s="70" customFormat="1"/>
    <row r="513" s="70" customFormat="1"/>
    <row r="514" s="70" customFormat="1"/>
    <row r="515" s="70" customFormat="1"/>
    <row r="516" s="70" customFormat="1"/>
    <row r="517" s="70" customFormat="1"/>
    <row r="518" s="70" customFormat="1"/>
    <row r="519" s="70" customFormat="1"/>
    <row r="520" s="70" customFormat="1"/>
    <row r="521" s="70" customFormat="1"/>
    <row r="522" s="70" customFormat="1"/>
    <row r="523" s="70" customFormat="1"/>
    <row r="524" s="70" customFormat="1"/>
    <row r="525" s="70" customFormat="1"/>
    <row r="526" s="70" customFormat="1"/>
    <row r="527" s="70" customFormat="1"/>
    <row r="528" s="70" customFormat="1"/>
    <row r="529" s="70" customFormat="1"/>
    <row r="530" s="70" customFormat="1"/>
    <row r="531" s="70" customFormat="1"/>
    <row r="532" s="70" customFormat="1"/>
    <row r="533" s="70" customFormat="1"/>
    <row r="534" s="70" customFormat="1"/>
    <row r="535" s="70" customFormat="1"/>
    <row r="536" s="70" customFormat="1"/>
    <row r="537" s="70" customFormat="1"/>
    <row r="538" s="70" customFormat="1"/>
    <row r="539" s="70" customFormat="1"/>
    <row r="540" s="70" customFormat="1"/>
    <row r="541" s="70" customFormat="1"/>
    <row r="542" s="70" customFormat="1"/>
    <row r="543" s="70" customFormat="1"/>
    <row r="544" s="70" customFormat="1"/>
    <row r="545" s="70" customFormat="1"/>
    <row r="546" s="70" customFormat="1"/>
    <row r="547" s="70" customFormat="1"/>
    <row r="548" s="70" customFormat="1"/>
    <row r="549" s="70" customFormat="1"/>
    <row r="550" s="70" customFormat="1"/>
    <row r="551" s="70" customFormat="1"/>
    <row r="552" s="70" customFormat="1"/>
    <row r="553" s="70" customFormat="1"/>
    <row r="554" s="70" customFormat="1"/>
    <row r="555" s="70" customFormat="1"/>
    <row r="556" s="70" customFormat="1"/>
    <row r="557" s="70" customFormat="1"/>
    <row r="558" s="70" customFormat="1"/>
    <row r="559" s="70" customFormat="1"/>
    <row r="560" s="70" customFormat="1"/>
    <row r="561" s="70" customFormat="1"/>
    <row r="562" s="70" customFormat="1"/>
    <row r="563" s="70" customFormat="1"/>
    <row r="564" s="70" customFormat="1"/>
    <row r="565" s="70" customFormat="1"/>
    <row r="566" s="70" customFormat="1"/>
    <row r="567" s="70" customFormat="1"/>
    <row r="568" s="70" customFormat="1"/>
    <row r="569" s="70" customFormat="1"/>
    <row r="570" s="70" customFormat="1"/>
    <row r="571" s="70" customFormat="1"/>
    <row r="572" s="70" customFormat="1"/>
    <row r="573" s="70" customFormat="1"/>
    <row r="574" s="70" customFormat="1"/>
    <row r="575" s="70" customFormat="1"/>
    <row r="576" s="70" customFormat="1"/>
    <row r="577" s="70" customFormat="1"/>
    <row r="578" s="70" customFormat="1"/>
    <row r="579" s="70" customFormat="1"/>
    <row r="580" s="70" customFormat="1"/>
    <row r="581" s="70" customFormat="1"/>
    <row r="582" s="70" customFormat="1"/>
    <row r="583" s="70" customFormat="1"/>
    <row r="584" s="70" customFormat="1"/>
    <row r="585" s="70" customFormat="1"/>
    <row r="586" s="70" customFormat="1"/>
    <row r="587" s="70" customFormat="1"/>
    <row r="588" s="70" customFormat="1"/>
    <row r="589" s="70" customFormat="1"/>
    <row r="590" s="70" customFormat="1"/>
    <row r="591" s="70" customFormat="1"/>
    <row r="592" s="70" customFormat="1"/>
    <row r="593" s="70" customFormat="1"/>
    <row r="594" s="70" customFormat="1"/>
    <row r="595" s="70" customFormat="1"/>
    <row r="596" s="70" customFormat="1"/>
    <row r="597" s="70" customFormat="1"/>
    <row r="598" s="70" customFormat="1"/>
    <row r="599" s="70" customFormat="1"/>
    <row r="600" s="70" customFormat="1"/>
    <row r="601" s="70" customFormat="1"/>
    <row r="602" s="70" customFormat="1"/>
    <row r="603" s="70" customFormat="1"/>
    <row r="604" s="70" customFormat="1"/>
    <row r="605" s="70" customFormat="1"/>
    <row r="606" s="70" customFormat="1"/>
    <row r="607" s="70" customFormat="1"/>
    <row r="608" s="70" customFormat="1"/>
    <row r="609" s="70" customFormat="1"/>
    <row r="610" s="70" customFormat="1"/>
    <row r="611" s="70" customFormat="1"/>
    <row r="612" s="70" customFormat="1"/>
    <row r="613" s="70" customFormat="1"/>
    <row r="614" s="70" customFormat="1"/>
    <row r="615" s="70" customFormat="1"/>
    <row r="616" s="70" customFormat="1"/>
    <row r="617" s="70" customFormat="1"/>
    <row r="618" s="70" customFormat="1"/>
    <row r="619" s="70" customFormat="1"/>
    <row r="620" s="70" customFormat="1"/>
    <row r="621" s="70" customFormat="1"/>
    <row r="622" s="70" customFormat="1"/>
    <row r="623" s="70" customFormat="1"/>
    <row r="624" s="70" customFormat="1"/>
    <row r="625" s="70" customFormat="1"/>
    <row r="626" s="70" customFormat="1"/>
    <row r="627" s="70" customFormat="1"/>
    <row r="628" s="70" customFormat="1"/>
    <row r="629" s="70" customFormat="1"/>
    <row r="630" s="70" customFormat="1"/>
    <row r="631" s="70" customFormat="1"/>
    <row r="632" s="70" customFormat="1"/>
    <row r="633" s="70" customFormat="1"/>
    <row r="634" s="70" customFormat="1"/>
    <row r="635" s="70" customFormat="1"/>
    <row r="636" s="70" customFormat="1"/>
    <row r="637" s="70" customFormat="1"/>
    <row r="638" s="70" customFormat="1"/>
    <row r="639" s="70" customFormat="1"/>
    <row r="640" s="70" customFormat="1"/>
    <row r="641" s="70" customFormat="1"/>
    <row r="642" s="70" customFormat="1"/>
    <row r="643" s="70" customFormat="1"/>
    <row r="644" s="70" customFormat="1"/>
    <row r="645" s="70" customFormat="1"/>
    <row r="646" s="70" customFormat="1"/>
    <row r="647" s="70" customFormat="1"/>
    <row r="648" s="70" customFormat="1"/>
    <row r="649" s="70" customFormat="1"/>
    <row r="650" s="70" customFormat="1"/>
    <row r="651" s="70" customFormat="1"/>
    <row r="652" s="70" customFormat="1"/>
    <row r="653" s="70" customFormat="1"/>
    <row r="654" s="70" customFormat="1"/>
    <row r="655" s="70" customFormat="1"/>
    <row r="656" s="70" customFormat="1"/>
    <row r="657" s="70" customFormat="1"/>
    <row r="658" s="70" customFormat="1"/>
    <row r="659" s="70" customFormat="1"/>
    <row r="660" s="70" customFormat="1"/>
    <row r="661" s="70" customFormat="1"/>
    <row r="662" s="70" customFormat="1"/>
    <row r="663" s="70" customFormat="1"/>
    <row r="664" s="70" customFormat="1"/>
    <row r="665" s="70" customFormat="1"/>
    <row r="666" s="70" customFormat="1"/>
    <row r="667" s="70" customFormat="1"/>
    <row r="668" s="70" customFormat="1"/>
    <row r="669" s="70" customFormat="1"/>
    <row r="670" s="70" customFormat="1"/>
    <row r="671" s="70" customFormat="1"/>
    <row r="672" s="70" customFormat="1"/>
    <row r="673" s="70" customFormat="1"/>
    <row r="674" s="70" customFormat="1"/>
    <row r="675" s="70" customFormat="1"/>
    <row r="676" s="70" customFormat="1"/>
    <row r="677" s="70" customFormat="1"/>
    <row r="678" s="70" customFormat="1"/>
    <row r="679" s="70" customFormat="1"/>
    <row r="680" s="70" customFormat="1"/>
    <row r="681" s="70" customFormat="1"/>
    <row r="682" s="70" customFormat="1"/>
    <row r="683" s="70" customFormat="1"/>
    <row r="684" s="70" customFormat="1"/>
    <row r="685" s="70" customFormat="1"/>
    <row r="686" s="70" customFormat="1"/>
    <row r="687" s="70" customFormat="1"/>
    <row r="688" s="70" customFormat="1"/>
    <row r="689" s="70" customFormat="1"/>
    <row r="690" s="70" customFormat="1"/>
    <row r="691" s="70" customFormat="1"/>
    <row r="692" s="70" customFormat="1"/>
    <row r="693" s="70" customFormat="1"/>
    <row r="694" s="70" customFormat="1"/>
    <row r="695" s="70" customFormat="1"/>
    <row r="696" s="70" customFormat="1"/>
    <row r="697" s="70" customFormat="1"/>
    <row r="698" s="70" customFormat="1"/>
    <row r="699" s="70" customFormat="1"/>
    <row r="700" s="70" customFormat="1"/>
    <row r="701" s="70" customFormat="1"/>
    <row r="702" s="70" customFormat="1"/>
    <row r="703" s="70" customFormat="1"/>
    <row r="704" s="70" customFormat="1"/>
    <row r="705" s="70" customFormat="1"/>
    <row r="706" s="70" customFormat="1"/>
    <row r="707" s="70" customFormat="1"/>
    <row r="708" s="70" customFormat="1"/>
    <row r="709" s="70" customFormat="1"/>
    <row r="710" s="70" customFormat="1"/>
    <row r="711" s="70" customFormat="1"/>
    <row r="712" s="70" customFormat="1"/>
    <row r="713" s="70" customFormat="1"/>
    <row r="714" s="70" customFormat="1"/>
    <row r="715" s="70" customFormat="1"/>
    <row r="716" s="70" customFormat="1"/>
    <row r="717" s="70" customFormat="1"/>
    <row r="718" s="70" customFormat="1"/>
    <row r="719" s="70" customFormat="1"/>
    <row r="720" s="70" customFormat="1"/>
    <row r="721" s="70" customFormat="1"/>
    <row r="722" s="70" customFormat="1"/>
    <row r="723" s="70" customFormat="1"/>
    <row r="724" s="70" customFormat="1"/>
    <row r="725" s="70" customFormat="1"/>
    <row r="726" s="70" customFormat="1"/>
    <row r="727" s="70" customFormat="1"/>
    <row r="728" s="70" customFormat="1"/>
    <row r="729" s="70" customFormat="1"/>
    <row r="730" s="70" customFormat="1"/>
    <row r="731" s="70" customFormat="1"/>
    <row r="732" s="70" customFormat="1"/>
    <row r="733" s="70" customFormat="1"/>
    <row r="734" s="70" customFormat="1"/>
    <row r="735" s="70" customFormat="1"/>
    <row r="736" s="70" customFormat="1"/>
    <row r="737" s="70" customFormat="1"/>
    <row r="738" s="70" customFormat="1"/>
    <row r="739" s="70" customFormat="1"/>
    <row r="740" s="70" customFormat="1"/>
    <row r="741" s="70" customFormat="1"/>
    <row r="742" s="70" customFormat="1"/>
    <row r="743" s="70" customFormat="1"/>
    <row r="744" s="70" customFormat="1"/>
    <row r="745" s="70" customFormat="1"/>
    <row r="746" s="70" customFormat="1"/>
    <row r="747" s="70" customFormat="1"/>
    <row r="748" s="70" customFormat="1"/>
    <row r="749" s="70" customFormat="1"/>
    <row r="750" s="70" customFormat="1"/>
    <row r="751" s="70" customFormat="1"/>
    <row r="752" s="70" customFormat="1"/>
    <row r="753" s="70" customFormat="1"/>
    <row r="754" s="70" customFormat="1"/>
    <row r="755" s="70" customFormat="1"/>
    <row r="756" s="70" customFormat="1"/>
    <row r="757" s="70" customFormat="1"/>
    <row r="758" s="70" customFormat="1"/>
    <row r="759" s="70" customFormat="1"/>
    <row r="760" s="70" customFormat="1"/>
    <row r="761" s="70" customFormat="1"/>
    <row r="762" s="70" customFormat="1"/>
    <row r="763" s="70" customFormat="1"/>
    <row r="764" s="70" customFormat="1"/>
    <row r="765" s="70" customFormat="1"/>
    <row r="766" s="70" customFormat="1"/>
    <row r="767" s="70" customFormat="1"/>
    <row r="768" s="70" customFormat="1"/>
    <row r="769" s="70" customFormat="1"/>
    <row r="770" s="70" customFormat="1"/>
    <row r="771" s="70" customFormat="1"/>
    <row r="772" s="70" customFormat="1"/>
    <row r="773" s="70" customFormat="1"/>
    <row r="774" s="70" customFormat="1"/>
    <row r="775" s="70" customFormat="1"/>
    <row r="776" s="70" customFormat="1"/>
    <row r="777" s="70" customFormat="1"/>
    <row r="778" s="70" customFormat="1"/>
    <row r="779" s="70" customFormat="1"/>
    <row r="780" s="70" customFormat="1"/>
    <row r="781" s="70" customFormat="1"/>
    <row r="782" s="70" customFormat="1"/>
    <row r="783" s="70" customFormat="1"/>
    <row r="784" s="70" customFormat="1"/>
    <row r="785" s="70" customFormat="1"/>
    <row r="786" s="70" customFormat="1"/>
    <row r="787" s="70" customFormat="1"/>
    <row r="788" s="70" customFormat="1"/>
    <row r="789" s="70" customFormat="1"/>
    <row r="790" s="70" customFormat="1"/>
    <row r="791" s="70" customFormat="1"/>
    <row r="792" s="70" customFormat="1"/>
    <row r="793" s="70" customFormat="1"/>
    <row r="794" s="70" customFormat="1"/>
    <row r="795" s="70" customFormat="1"/>
    <row r="796" s="70" customFormat="1"/>
    <row r="797" s="70" customFormat="1"/>
    <row r="798" s="70" customFormat="1"/>
    <row r="799" s="70" customFormat="1"/>
    <row r="800" s="70" customFormat="1"/>
    <row r="801" s="70" customFormat="1"/>
    <row r="802" s="70" customFormat="1"/>
    <row r="803" s="70" customFormat="1"/>
    <row r="804" s="70" customFormat="1"/>
    <row r="805" s="70" customFormat="1"/>
    <row r="806" s="70" customFormat="1"/>
    <row r="807" s="70" customFormat="1"/>
    <row r="808" s="70" customFormat="1"/>
    <row r="809" s="70" customFormat="1"/>
    <row r="810" s="70" customFormat="1"/>
    <row r="811" s="70" customFormat="1"/>
    <row r="812" s="70" customFormat="1"/>
    <row r="813" s="70" customFormat="1"/>
    <row r="814" s="70" customFormat="1"/>
    <row r="815" s="70" customFormat="1"/>
    <row r="816" s="70" customFormat="1"/>
    <row r="817" s="70" customFormat="1"/>
    <row r="818" s="70" customFormat="1"/>
    <row r="819" s="70" customFormat="1"/>
    <row r="820" s="70" customFormat="1"/>
    <row r="821" s="70" customFormat="1"/>
    <row r="822" s="70" customFormat="1"/>
    <row r="823" s="70" customFormat="1"/>
    <row r="824" s="70" customFormat="1"/>
    <row r="825" s="70" customFormat="1"/>
    <row r="826" s="70" customFormat="1"/>
    <row r="827" s="70" customFormat="1"/>
    <row r="828" s="70" customFormat="1"/>
    <row r="829" s="70" customFormat="1"/>
    <row r="830" s="70" customFormat="1"/>
    <row r="831" s="70" customFormat="1"/>
    <row r="832" s="70" customFormat="1"/>
    <row r="833" s="70" customFormat="1"/>
    <row r="834" s="70" customFormat="1"/>
    <row r="835" s="70" customFormat="1"/>
    <row r="836" s="70" customFormat="1"/>
    <row r="837" s="70" customFormat="1"/>
    <row r="838" s="70" customFormat="1"/>
    <row r="839" s="70" customFormat="1"/>
    <row r="840" s="70" customFormat="1"/>
    <row r="841" s="70" customFormat="1"/>
    <row r="842" s="70" customFormat="1"/>
    <row r="843" s="70" customFormat="1"/>
    <row r="844" s="70" customFormat="1"/>
    <row r="845" s="70" customFormat="1"/>
    <row r="846" s="70" customFormat="1"/>
    <row r="847" s="70" customFormat="1"/>
    <row r="848" s="70" customFormat="1"/>
    <row r="849" s="70" customFormat="1"/>
    <row r="850" s="70" customFormat="1"/>
    <row r="851" s="70" customFormat="1"/>
    <row r="852" s="70" customFormat="1"/>
    <row r="853" s="70" customFormat="1"/>
    <row r="854" s="70" customFormat="1"/>
    <row r="855" s="70" customFormat="1"/>
    <row r="856" s="70" customFormat="1"/>
    <row r="857" s="70" customFormat="1"/>
    <row r="858" s="70" customFormat="1"/>
    <row r="859" s="70" customFormat="1"/>
    <row r="860" s="70" customFormat="1"/>
    <row r="861" s="70" customFormat="1"/>
    <row r="862" s="70" customFormat="1"/>
    <row r="863" s="70" customFormat="1"/>
    <row r="864" s="70" customFormat="1"/>
    <row r="865" s="70" customFormat="1"/>
    <row r="866" s="70" customFormat="1"/>
    <row r="867" s="70" customFormat="1"/>
    <row r="868" s="70" customFormat="1"/>
    <row r="869" s="70" customFormat="1"/>
    <row r="870" s="70" customFormat="1"/>
    <row r="871" s="70" customFormat="1"/>
    <row r="872" s="70" customFormat="1"/>
    <row r="873" s="70" customFormat="1"/>
    <row r="874" s="70" customFormat="1"/>
    <row r="875" s="70" customFormat="1"/>
    <row r="876" s="70" customFormat="1"/>
    <row r="877" s="70" customFormat="1"/>
    <row r="878" s="70" customFormat="1"/>
    <row r="879" s="70" customFormat="1"/>
    <row r="880" s="70" customFormat="1"/>
    <row r="881" s="70" customFormat="1"/>
    <row r="882" s="70" customFormat="1"/>
    <row r="883" s="70" customFormat="1"/>
    <row r="884" s="70" customFormat="1"/>
    <row r="885" s="70" customFormat="1"/>
    <row r="886" s="70" customFormat="1"/>
    <row r="887" s="70" customFormat="1"/>
    <row r="888" s="70" customFormat="1"/>
    <row r="889" s="70" customFormat="1"/>
    <row r="890" s="70" customFormat="1"/>
    <row r="891" s="70" customFormat="1"/>
    <row r="892" s="70" customFormat="1"/>
    <row r="893" s="70" customFormat="1"/>
    <row r="894" s="70" customFormat="1"/>
    <row r="895" s="70" customFormat="1"/>
    <row r="896" s="70" customFormat="1"/>
    <row r="897" s="70" customFormat="1"/>
    <row r="898" s="70" customFormat="1"/>
    <row r="899" s="70" customFormat="1"/>
    <row r="900" s="70" customFormat="1"/>
    <row r="901" s="70" customFormat="1"/>
    <row r="902" s="70" customFormat="1"/>
    <row r="903" s="70" customFormat="1"/>
    <row r="904" s="70" customFormat="1"/>
    <row r="905" s="70" customFormat="1"/>
    <row r="906" s="70" customFormat="1"/>
    <row r="907" s="70" customFormat="1"/>
    <row r="908" s="70" customFormat="1"/>
    <row r="909" s="70" customFormat="1"/>
    <row r="910" s="70" customFormat="1"/>
    <row r="911" s="70" customFormat="1"/>
    <row r="912" s="70" customFormat="1"/>
    <row r="913" s="70" customFormat="1"/>
    <row r="914" s="70" customFormat="1"/>
    <row r="915" s="70" customFormat="1"/>
    <row r="916" s="70" customFormat="1"/>
    <row r="917" s="70" customFormat="1"/>
    <row r="918" s="70" customFormat="1"/>
    <row r="919" s="70" customFormat="1"/>
    <row r="920" s="70" customFormat="1"/>
    <row r="921" s="70" customFormat="1"/>
    <row r="922" s="70" customFormat="1"/>
    <row r="923" s="70" customFormat="1"/>
    <row r="924" s="70" customFormat="1"/>
    <row r="925" s="70" customFormat="1"/>
    <row r="926" s="70" customFormat="1"/>
    <row r="927" s="70" customFormat="1"/>
    <row r="928" s="70" customFormat="1"/>
    <row r="929" s="70" customFormat="1"/>
    <row r="930" s="70" customFormat="1"/>
    <row r="931" s="70" customFormat="1"/>
    <row r="932" s="70" customFormat="1"/>
    <row r="933" s="70" customFormat="1"/>
    <row r="934" s="70" customFormat="1"/>
    <row r="935" s="70" customFormat="1"/>
    <row r="936" s="70" customFormat="1"/>
    <row r="937" s="70" customFormat="1"/>
    <row r="938" s="70" customFormat="1"/>
    <row r="939" s="70" customFormat="1"/>
    <row r="940" s="70" customFormat="1"/>
    <row r="941" s="70" customFormat="1"/>
    <row r="942" s="70" customFormat="1"/>
    <row r="943" s="70" customFormat="1"/>
    <row r="944" s="70" customFormat="1"/>
    <row r="945" s="70" customFormat="1"/>
    <row r="946" s="70" customFormat="1"/>
    <row r="947" s="70" customFormat="1"/>
    <row r="948" s="70" customFormat="1"/>
    <row r="949" s="70" customFormat="1"/>
    <row r="950" s="70" customFormat="1"/>
    <row r="951" s="70" customFormat="1"/>
    <row r="952" s="70" customFormat="1"/>
    <row r="953" s="70" customFormat="1"/>
    <row r="954" s="70" customFormat="1"/>
    <row r="955" s="70" customFormat="1"/>
    <row r="956" s="70" customFormat="1"/>
    <row r="957" s="70" customFormat="1"/>
    <row r="958" s="70" customFormat="1"/>
    <row r="959" s="70" customFormat="1"/>
    <row r="960" s="70" customFormat="1"/>
    <row r="961" s="70" customFormat="1"/>
    <row r="962" s="70" customFormat="1"/>
    <row r="963" s="70" customFormat="1"/>
    <row r="964" s="70" customFormat="1"/>
    <row r="965" s="70" customFormat="1"/>
    <row r="966" s="70" customFormat="1"/>
    <row r="967" s="70" customFormat="1"/>
    <row r="968" s="70" customFormat="1"/>
    <row r="969" s="70" customFormat="1"/>
    <row r="970" s="70" customFormat="1"/>
    <row r="971" s="70" customFormat="1"/>
    <row r="972" s="70" customFormat="1"/>
    <row r="973" s="70" customFormat="1"/>
    <row r="974" s="70" customFormat="1"/>
    <row r="975" s="70" customFormat="1"/>
    <row r="976" s="70" customFormat="1"/>
    <row r="977" s="70" customFormat="1"/>
    <row r="978" s="70" customFormat="1"/>
    <row r="979" s="70" customFormat="1"/>
    <row r="980" s="70" customFormat="1"/>
    <row r="981" s="70" customFormat="1"/>
    <row r="982" s="70" customFormat="1"/>
    <row r="983" s="70" customFormat="1"/>
    <row r="984" s="70" customFormat="1"/>
    <row r="985" s="70" customFormat="1"/>
    <row r="986" s="70" customFormat="1"/>
    <row r="987" s="70" customFormat="1"/>
    <row r="988" s="70" customFormat="1"/>
    <row r="989" s="70" customFormat="1"/>
    <row r="990" s="70" customFormat="1"/>
    <row r="991" s="70" customFormat="1"/>
    <row r="992" s="70" customFormat="1"/>
    <row r="993" s="70" customFormat="1"/>
    <row r="994" s="70" customFormat="1"/>
    <row r="995" s="70" customFormat="1"/>
    <row r="996" s="70" customFormat="1"/>
    <row r="997" s="70" customFormat="1"/>
    <row r="998" s="70" customFormat="1"/>
    <row r="999" s="70" customFormat="1"/>
    <row r="1000" s="70" customFormat="1"/>
    <row r="1001" s="70" customFormat="1"/>
    <row r="1002" s="70" customFormat="1"/>
    <row r="1003" s="70" customFormat="1"/>
    <row r="1004" s="70" customFormat="1"/>
    <row r="1005" s="70" customFormat="1"/>
    <row r="1006" s="70" customFormat="1"/>
    <row r="1007" s="70" customFormat="1"/>
    <row r="1008" s="70" customFormat="1"/>
    <row r="1009" s="70" customFormat="1"/>
    <row r="1010" s="70" customFormat="1"/>
    <row r="1011" s="70" customFormat="1"/>
    <row r="1012" s="70" customFormat="1"/>
    <row r="1013" s="70" customFormat="1"/>
    <row r="1014" s="70" customFormat="1"/>
    <row r="1015" s="70" customFormat="1"/>
    <row r="1016" s="70" customFormat="1"/>
    <row r="1017" s="70" customFormat="1"/>
    <row r="1018" s="70" customFormat="1"/>
    <row r="1019" s="70" customFormat="1"/>
    <row r="1020" s="70" customFormat="1"/>
    <row r="1021" s="70" customFormat="1"/>
    <row r="1022" s="70" customFormat="1"/>
    <row r="1023" s="70" customFormat="1"/>
    <row r="1024" s="70" customFormat="1"/>
    <row r="1025" s="70" customFormat="1"/>
    <row r="1026" s="70" customFormat="1"/>
    <row r="1027" s="70" customFormat="1"/>
    <row r="1028" s="70" customFormat="1"/>
    <row r="1029" s="70" customFormat="1"/>
    <row r="1030" s="70" customFormat="1"/>
    <row r="1031" s="70" customFormat="1"/>
    <row r="1032" s="70" customFormat="1"/>
    <row r="1033" s="70" customFormat="1"/>
    <row r="1034" s="70" customFormat="1"/>
    <row r="1035" s="70" customFormat="1"/>
    <row r="1036" s="70" customFormat="1"/>
    <row r="1037" s="70" customFormat="1"/>
    <row r="1038" s="70" customFormat="1"/>
    <row r="1039" s="70" customFormat="1"/>
    <row r="1040" s="70" customFormat="1"/>
    <row r="1041" s="70" customFormat="1"/>
    <row r="1042" s="70" customFormat="1"/>
    <row r="1043" s="70" customFormat="1"/>
    <row r="1044" s="70" customFormat="1"/>
    <row r="1045" s="70" customFormat="1"/>
    <row r="1046" s="70" customFormat="1"/>
    <row r="1047" s="70" customFormat="1"/>
    <row r="1048" s="70" customFormat="1"/>
    <row r="1049" s="70" customFormat="1"/>
    <row r="1050" s="70" customFormat="1"/>
    <row r="1051" s="70" customFormat="1"/>
    <row r="1052" s="70" customFormat="1"/>
    <row r="1053" s="70" customFormat="1"/>
    <row r="1054" s="70" customFormat="1"/>
    <row r="1055" s="70" customFormat="1"/>
    <row r="1056" s="70" customFormat="1"/>
    <row r="1057" s="70" customFormat="1"/>
    <row r="1058" s="70" customFormat="1"/>
    <row r="1059" s="70" customFormat="1"/>
    <row r="1060" s="70" customFormat="1"/>
    <row r="1061" s="70" customFormat="1"/>
    <row r="1062" s="70" customFormat="1"/>
    <row r="1063" s="70" customFormat="1"/>
    <row r="1064" s="70" customFormat="1"/>
    <row r="1065" s="70" customFormat="1"/>
    <row r="1066" s="70" customFormat="1"/>
    <row r="1067" s="70" customFormat="1"/>
    <row r="1068" s="70" customFormat="1"/>
    <row r="1069" s="70" customFormat="1"/>
    <row r="1070" s="70" customFormat="1"/>
    <row r="1071" s="70" customFormat="1"/>
    <row r="1072" s="70" customFormat="1"/>
    <row r="1073" s="70" customFormat="1"/>
    <row r="1074" s="70" customFormat="1"/>
    <row r="1075" s="70" customFormat="1"/>
    <row r="1076" s="70" customFormat="1"/>
    <row r="1077" s="70" customFormat="1"/>
    <row r="1078" s="70" customFormat="1"/>
    <row r="1079" s="70" customFormat="1"/>
    <row r="1080" s="70" customFormat="1"/>
    <row r="1081" s="70" customFormat="1"/>
    <row r="1082" s="70" customFormat="1"/>
    <row r="1083" s="70" customFormat="1"/>
    <row r="1084" s="70" customFormat="1"/>
    <row r="1085" s="70" customFormat="1"/>
    <row r="1086" s="70" customFormat="1"/>
    <row r="1087" s="70" customFormat="1"/>
    <row r="1088" s="70" customFormat="1"/>
    <row r="1089" s="70" customFormat="1"/>
    <row r="1090" s="70" customFormat="1"/>
    <row r="1091" s="70" customFormat="1"/>
    <row r="1092" s="70" customFormat="1"/>
    <row r="1093" s="70" customFormat="1"/>
    <row r="1094" s="70" customFormat="1"/>
    <row r="1095" s="70" customFormat="1"/>
    <row r="1096" s="70" customFormat="1"/>
    <row r="1097" s="70" customFormat="1"/>
    <row r="1098" s="70" customFormat="1"/>
    <row r="1099" s="70" customFormat="1"/>
    <row r="1100" s="70" customFormat="1"/>
    <row r="1101" s="70" customFormat="1"/>
    <row r="1102" s="70" customFormat="1"/>
    <row r="1103" s="70" customFormat="1"/>
    <row r="1104" s="70" customFormat="1"/>
    <row r="1105" s="70" customFormat="1"/>
    <row r="1106" s="70" customFormat="1"/>
    <row r="1107" s="70" customFormat="1"/>
    <row r="1108" s="70" customFormat="1"/>
    <row r="1109" s="70" customFormat="1"/>
    <row r="1110" s="70" customFormat="1"/>
    <row r="1111" s="70" customFormat="1"/>
    <row r="1112" s="70" customFormat="1"/>
    <row r="1113" s="70" customFormat="1"/>
    <row r="1114" s="70" customFormat="1"/>
    <row r="1115" s="70" customFormat="1"/>
    <row r="1116" s="70" customFormat="1"/>
    <row r="1117" s="70" customFormat="1"/>
    <row r="1118" s="70" customFormat="1"/>
    <row r="1119" s="70" customFormat="1"/>
    <row r="1120" s="70" customFormat="1"/>
    <row r="1121" s="70" customFormat="1"/>
    <row r="1122" s="70" customFormat="1"/>
    <row r="1123" s="70" customFormat="1"/>
    <row r="1124" s="70" customFormat="1"/>
    <row r="1125" s="70" customFormat="1"/>
    <row r="1126" s="70" customFormat="1"/>
    <row r="1127" s="70" customFormat="1"/>
    <row r="1128" s="70" customFormat="1"/>
    <row r="1129" s="70" customFormat="1"/>
    <row r="1130" s="70" customFormat="1"/>
    <row r="1131" s="70" customFormat="1"/>
    <row r="1132" s="70" customFormat="1"/>
    <row r="1133" s="70" customFormat="1"/>
    <row r="1134" s="70" customFormat="1"/>
    <row r="1135" s="70" customFormat="1"/>
    <row r="1136" s="70" customFormat="1"/>
    <row r="1137" s="70" customFormat="1"/>
    <row r="1138" s="70" customFormat="1"/>
    <row r="1139" s="70" customFormat="1"/>
    <row r="1140" s="70" customFormat="1"/>
    <row r="1141" s="70" customFormat="1"/>
    <row r="1142" s="70" customFormat="1"/>
    <row r="1143" s="70" customFormat="1"/>
    <row r="1144" s="70" customFormat="1"/>
    <row r="1145" s="70" customFormat="1"/>
    <row r="1146" s="70" customFormat="1"/>
    <row r="1147" s="70" customFormat="1"/>
    <row r="1148" s="70" customFormat="1"/>
    <row r="1149" s="70" customFormat="1"/>
    <row r="1150" s="70" customFormat="1"/>
    <row r="1151" s="70" customFormat="1"/>
    <row r="1152" s="70" customFormat="1"/>
    <row r="1153" s="70" customFormat="1"/>
    <row r="1154" s="70" customFormat="1"/>
    <row r="1155" s="70" customFormat="1"/>
    <row r="1156" s="70" customFormat="1"/>
    <row r="1157" s="70" customFormat="1"/>
    <row r="1158" s="70" customFormat="1"/>
    <row r="1159" s="70" customFormat="1"/>
    <row r="1160" s="70" customFormat="1"/>
    <row r="1161" s="70" customFormat="1"/>
    <row r="1162" s="70" customFormat="1"/>
    <row r="1163" s="70" customFormat="1"/>
    <row r="1164" s="70" customFormat="1"/>
    <row r="1165" s="70" customFormat="1"/>
    <row r="1166" s="70" customFormat="1"/>
    <row r="1167" s="70" customFormat="1"/>
    <row r="1168" s="70" customFormat="1"/>
    <row r="1169" s="70" customFormat="1"/>
    <row r="1170" s="70" customFormat="1"/>
    <row r="1171" s="70" customFormat="1"/>
    <row r="1172" s="70" customFormat="1"/>
    <row r="1173" s="70" customFormat="1"/>
    <row r="1174" s="70" customFormat="1"/>
    <row r="1175" s="70" customFormat="1"/>
    <row r="1176" s="70" customFormat="1"/>
    <row r="1177" s="70" customFormat="1"/>
    <row r="1178" s="70" customFormat="1"/>
    <row r="1179" s="70" customFormat="1"/>
    <row r="1180" s="70" customFormat="1"/>
    <row r="1181" s="70" customFormat="1"/>
    <row r="1182" s="70" customFormat="1"/>
    <row r="1183" s="70" customFormat="1"/>
    <row r="1184" s="70" customFormat="1"/>
    <row r="1185" s="70" customFormat="1"/>
    <row r="1186" s="70" customFormat="1"/>
    <row r="1187" s="70" customFormat="1"/>
    <row r="1188" s="70" customFormat="1"/>
    <row r="1189" s="70" customFormat="1"/>
    <row r="1190" s="70" customFormat="1"/>
    <row r="1191" s="70" customFormat="1"/>
    <row r="1192" s="70" customFormat="1"/>
    <row r="1193" s="70" customFormat="1"/>
    <row r="1194" s="70" customFormat="1"/>
    <row r="1195" s="70" customFormat="1"/>
    <row r="1196" s="70" customFormat="1"/>
    <row r="1197" s="70" customFormat="1"/>
    <row r="1198" s="70" customFormat="1"/>
    <row r="1199" s="70" customFormat="1"/>
    <row r="1200" s="70" customFormat="1"/>
    <row r="1201" s="70" customFormat="1"/>
    <row r="1202" s="70" customFormat="1"/>
    <row r="1203" s="70" customFormat="1"/>
    <row r="1204" s="70" customFormat="1"/>
    <row r="1205" s="70" customFormat="1"/>
    <row r="1206" s="70" customFormat="1"/>
    <row r="1207" s="70" customFormat="1"/>
    <row r="1208" s="70" customFormat="1"/>
    <row r="1209" s="70" customFormat="1"/>
    <row r="1210" s="70" customFormat="1"/>
    <row r="1211" s="70" customFormat="1"/>
    <row r="1212" s="70" customFormat="1"/>
    <row r="1213" s="70" customFormat="1"/>
    <row r="1214" s="70" customFormat="1"/>
    <row r="1215" s="70" customFormat="1"/>
    <row r="1216" s="70" customFormat="1"/>
    <row r="1217" s="70" customFormat="1"/>
    <row r="1218" s="70" customFormat="1"/>
    <row r="1219" s="70" customFormat="1"/>
    <row r="1220" s="70" customFormat="1"/>
    <row r="1221" s="70" customFormat="1"/>
    <row r="1222" s="70" customFormat="1"/>
    <row r="1223" s="70" customFormat="1"/>
    <row r="1224" s="70" customFormat="1"/>
    <row r="1225" s="70" customFormat="1"/>
    <row r="1226" s="70" customFormat="1"/>
    <row r="1227" s="70" customFormat="1"/>
    <row r="1228" s="70" customFormat="1"/>
    <row r="1229" s="70" customFormat="1"/>
    <row r="1230" s="70" customFormat="1"/>
    <row r="1231" s="70" customFormat="1"/>
    <row r="1232" s="70" customFormat="1"/>
    <row r="1233" s="70" customFormat="1"/>
    <row r="1234" s="70" customFormat="1"/>
    <row r="1235" s="70" customFormat="1"/>
    <row r="1236" s="70" customFormat="1"/>
    <row r="1237" s="70" customFormat="1"/>
    <row r="1238" s="70" customFormat="1"/>
    <row r="1239" s="70" customFormat="1"/>
    <row r="1240" s="70" customFormat="1"/>
    <row r="1241" s="70" customFormat="1"/>
    <row r="1242" s="70" customFormat="1"/>
    <row r="1243" s="70" customFormat="1"/>
    <row r="1244" s="70" customFormat="1"/>
    <row r="1245" s="70" customFormat="1"/>
    <row r="1246" s="70" customFormat="1"/>
    <row r="1247" s="70" customFormat="1"/>
    <row r="1248" s="70" customFormat="1"/>
    <row r="1249" s="70" customFormat="1"/>
    <row r="1250" s="70" customFormat="1"/>
    <row r="1251" s="70" customFormat="1"/>
    <row r="1252" s="70" customFormat="1"/>
    <row r="1253" s="70" customFormat="1"/>
    <row r="1254" s="70" customFormat="1"/>
    <row r="1255" s="70" customFormat="1"/>
    <row r="1256" s="70" customFormat="1"/>
    <row r="1257" s="70" customFormat="1"/>
    <row r="1258" s="70" customFormat="1"/>
    <row r="1259" s="70" customFormat="1"/>
    <row r="1260" s="70" customFormat="1"/>
    <row r="1261" s="70" customFormat="1"/>
    <row r="1262" s="70" customFormat="1"/>
    <row r="1263" s="70" customFormat="1"/>
    <row r="1264" s="70" customFormat="1"/>
    <row r="1265" s="70" customFormat="1"/>
    <row r="1266" s="70" customFormat="1"/>
    <row r="1267" s="70" customFormat="1"/>
    <row r="1268" s="70" customFormat="1"/>
    <row r="1269" s="70" customFormat="1"/>
    <row r="1270" s="70" customFormat="1"/>
    <row r="1271" s="70" customFormat="1"/>
    <row r="1272" s="70" customFormat="1"/>
    <row r="1273" s="70" customFormat="1"/>
    <row r="1274" s="70" customFormat="1"/>
    <row r="1275" s="70" customFormat="1"/>
    <row r="1276" s="70" customFormat="1"/>
    <row r="1277" s="70" customFormat="1"/>
    <row r="1278" s="70" customFormat="1"/>
    <row r="1279" s="70" customFormat="1"/>
    <row r="1280" s="70" customFormat="1"/>
    <row r="1281" s="70" customFormat="1"/>
    <row r="1282" s="70" customFormat="1"/>
    <row r="1283" s="70" customFormat="1"/>
    <row r="1284" s="70" customFormat="1"/>
    <row r="1285" s="70" customFormat="1"/>
    <row r="1286" s="70" customFormat="1"/>
    <row r="1287" s="70" customFormat="1"/>
    <row r="1288" s="70" customFormat="1"/>
    <row r="1289" s="70" customFormat="1"/>
    <row r="1290" s="70" customFormat="1"/>
    <row r="1291" s="70" customFormat="1"/>
    <row r="1292" s="70" customFormat="1"/>
    <row r="1293" s="70" customFormat="1"/>
    <row r="1294" s="70" customFormat="1"/>
    <row r="1295" s="70" customFormat="1"/>
    <row r="1296" s="70" customFormat="1"/>
    <row r="1297" s="70" customFormat="1"/>
    <row r="1298" s="70" customFormat="1"/>
    <row r="1299" s="70" customFormat="1"/>
    <row r="1300" s="70" customFormat="1"/>
    <row r="1301" s="70" customFormat="1"/>
    <row r="1302" s="70" customFormat="1"/>
    <row r="1303" s="70" customFormat="1"/>
    <row r="1304" s="70" customFormat="1"/>
    <row r="1305" s="70" customFormat="1"/>
    <row r="1306" s="70" customFormat="1"/>
    <row r="1307" s="70" customFormat="1"/>
    <row r="1308" s="70" customFormat="1"/>
    <row r="1309" s="70" customFormat="1"/>
    <row r="1310" s="70" customFormat="1"/>
    <row r="1311" s="70" customFormat="1"/>
    <row r="1312" s="70" customFormat="1"/>
    <row r="1313" s="70" customFormat="1"/>
    <row r="1314" s="70" customFormat="1"/>
    <row r="1315" s="70" customFormat="1"/>
    <row r="1316" s="70" customFormat="1"/>
    <row r="1317" s="70" customFormat="1"/>
    <row r="1318" s="70" customFormat="1"/>
    <row r="1319" s="70" customFormat="1"/>
    <row r="1320" s="70" customFormat="1"/>
    <row r="1321" s="70" customFormat="1"/>
    <row r="1322" s="70" customFormat="1"/>
    <row r="1323" s="70" customFormat="1"/>
    <row r="1324" s="70" customFormat="1"/>
    <row r="1325" s="70" customFormat="1"/>
    <row r="1326" s="70" customFormat="1"/>
    <row r="1327" s="70" customFormat="1"/>
    <row r="1328" s="70" customFormat="1"/>
    <row r="1329" s="70" customFormat="1"/>
    <row r="1330" s="70" customFormat="1"/>
    <row r="1331" s="70" customFormat="1"/>
    <row r="1332" s="70" customFormat="1"/>
    <row r="1333" s="70" customFormat="1"/>
    <row r="1334" s="70" customFormat="1"/>
    <row r="1335" s="70" customFormat="1"/>
    <row r="1336" s="70" customFormat="1"/>
    <row r="1337" s="70" customFormat="1"/>
    <row r="1338" s="70" customFormat="1"/>
    <row r="1339" s="70" customFormat="1"/>
    <row r="1340" s="70" customFormat="1"/>
    <row r="1341" s="70" customFormat="1"/>
    <row r="1342" s="70" customFormat="1"/>
    <row r="1343" s="70" customFormat="1"/>
    <row r="1344" s="70" customFormat="1"/>
    <row r="1345" s="70" customFormat="1"/>
    <row r="1346" s="70" customFormat="1"/>
    <row r="1347" s="70" customFormat="1"/>
    <row r="1348" s="70" customFormat="1"/>
    <row r="1349" s="70" customFormat="1"/>
    <row r="1350" s="70" customFormat="1"/>
    <row r="1351" s="70" customFormat="1"/>
    <row r="1352" s="70" customFormat="1"/>
    <row r="1353" s="70" customFormat="1"/>
    <row r="1354" s="70" customFormat="1"/>
    <row r="1355" s="70" customFormat="1"/>
    <row r="1356" s="70" customFormat="1"/>
    <row r="1357" s="70" customFormat="1"/>
    <row r="1358" s="70" customFormat="1"/>
    <row r="1359" s="70" customFormat="1"/>
    <row r="1360" s="70" customFormat="1"/>
    <row r="1361" s="70" customFormat="1"/>
    <row r="1362" s="70" customFormat="1"/>
    <row r="1363" s="70" customFormat="1"/>
    <row r="1364" s="70" customFormat="1"/>
    <row r="1365" s="70" customFormat="1"/>
    <row r="1366" s="70" customFormat="1"/>
    <row r="1367" s="70" customFormat="1"/>
    <row r="1368" s="70" customFormat="1"/>
    <row r="1369" s="70" customFormat="1"/>
    <row r="1370" s="70" customFormat="1"/>
    <row r="1371" s="70" customFormat="1"/>
    <row r="1372" s="70" customFormat="1"/>
    <row r="1373" s="70" customFormat="1"/>
    <row r="1374" s="70" customFormat="1"/>
    <row r="1375" s="70" customFormat="1"/>
    <row r="1376" s="70" customFormat="1"/>
    <row r="1377" s="70" customFormat="1"/>
    <row r="1378" s="70" customFormat="1"/>
    <row r="1379" s="70" customFormat="1"/>
    <row r="1380" s="70" customFormat="1"/>
    <row r="1381" s="70" customFormat="1"/>
    <row r="1382" s="70" customFormat="1"/>
    <row r="1383" s="70" customFormat="1"/>
    <row r="1384" s="70" customFormat="1"/>
    <row r="1385" s="70" customFormat="1"/>
    <row r="1386" s="70" customFormat="1"/>
    <row r="1387" s="70" customFormat="1"/>
    <row r="1388" s="70" customFormat="1"/>
    <row r="1389" s="70" customFormat="1"/>
    <row r="1390" s="70" customFormat="1"/>
    <row r="1391" s="70" customFormat="1"/>
    <row r="1392" s="70" customFormat="1"/>
    <row r="1393" s="70" customFormat="1"/>
    <row r="1394" s="70" customFormat="1"/>
    <row r="1395" s="70" customFormat="1"/>
    <row r="1396" s="70" customFormat="1"/>
    <row r="1397" s="70" customFormat="1"/>
    <row r="1398" s="70" customFormat="1"/>
    <row r="1399" s="70" customFormat="1"/>
    <row r="1400" s="70" customFormat="1"/>
    <row r="1401" s="70" customFormat="1"/>
    <row r="1402" s="70" customFormat="1"/>
    <row r="1403" s="70" customFormat="1"/>
    <row r="1404" s="70" customFormat="1"/>
    <row r="1405" s="70" customFormat="1"/>
    <row r="1406" s="70" customFormat="1"/>
    <row r="1407" s="70" customFormat="1"/>
    <row r="1408" s="70" customFormat="1"/>
    <row r="1409" s="70" customFormat="1"/>
    <row r="1410" s="70" customFormat="1"/>
    <row r="1411" s="70" customFormat="1"/>
    <row r="1412" s="70" customFormat="1"/>
    <row r="1413" s="70" customFormat="1"/>
    <row r="1414" s="70" customFormat="1"/>
    <row r="1415" s="70" customFormat="1"/>
    <row r="1416" s="70" customFormat="1"/>
    <row r="1417" s="70" customFormat="1"/>
    <row r="1418" s="70" customFormat="1"/>
    <row r="1419" s="70" customFormat="1"/>
    <row r="1420" s="70" customFormat="1"/>
    <row r="1421" s="70" customFormat="1"/>
    <row r="1422" s="70" customFormat="1"/>
    <row r="1423" s="70" customFormat="1"/>
    <row r="1424" s="70" customFormat="1"/>
    <row r="1425" s="70" customFormat="1"/>
    <row r="1426" s="70" customFormat="1"/>
    <row r="1427" s="70" customFormat="1"/>
    <row r="1428" s="70" customFormat="1"/>
    <row r="1429" s="70" customFormat="1"/>
    <row r="1430" s="70" customFormat="1"/>
    <row r="1431" s="70" customFormat="1"/>
    <row r="1432" s="70" customFormat="1"/>
    <row r="1433" s="70" customFormat="1"/>
    <row r="1434" s="70" customFormat="1"/>
    <row r="1435" s="70" customFormat="1"/>
    <row r="1436" s="70" customFormat="1"/>
    <row r="1437" s="70" customFormat="1"/>
    <row r="1438" s="70" customFormat="1"/>
    <row r="1439" s="70" customFormat="1"/>
    <row r="1440" s="70" customFormat="1"/>
    <row r="1441" s="70" customFormat="1"/>
    <row r="1442" s="70" customFormat="1"/>
    <row r="1443" s="70" customFormat="1"/>
    <row r="1444" s="70" customFormat="1"/>
    <row r="1445" s="70" customFormat="1"/>
    <row r="1446" s="70" customFormat="1"/>
    <row r="1447" s="70" customFormat="1"/>
    <row r="1448" s="70" customFormat="1"/>
    <row r="1449" s="70" customFormat="1"/>
    <row r="1450" s="70" customFormat="1"/>
    <row r="1451" s="70" customFormat="1"/>
    <row r="1452" s="70" customFormat="1"/>
    <row r="1453" s="70" customFormat="1"/>
    <row r="1454" s="70" customFormat="1"/>
    <row r="1455" s="70" customFormat="1"/>
    <row r="1456" s="70" customFormat="1"/>
    <row r="1457" s="70" customFormat="1"/>
    <row r="1458" s="70" customFormat="1"/>
    <row r="1459" s="70" customFormat="1"/>
    <row r="1460" s="70" customFormat="1"/>
    <row r="1461" s="70" customFormat="1"/>
    <row r="1462" s="70" customFormat="1"/>
    <row r="1463" s="70" customFormat="1"/>
    <row r="1464" s="70" customFormat="1"/>
    <row r="1465" s="70" customFormat="1"/>
    <row r="1466" s="70" customFormat="1"/>
    <row r="1467" s="70" customFormat="1"/>
    <row r="1468" s="70" customFormat="1"/>
    <row r="1469" s="70" customFormat="1"/>
    <row r="1470" s="70" customFormat="1"/>
    <row r="1471" s="70" customFormat="1"/>
    <row r="1472" s="70" customFormat="1"/>
    <row r="1473" s="70" customFormat="1"/>
    <row r="1474" s="70" customFormat="1"/>
    <row r="1475" s="70" customFormat="1"/>
    <row r="1476" s="70" customFormat="1"/>
    <row r="1477" s="70" customFormat="1"/>
    <row r="1478" s="70" customFormat="1"/>
    <row r="1479" s="70" customFormat="1"/>
    <row r="1480" s="70" customFormat="1"/>
    <row r="1481" s="70" customFormat="1"/>
    <row r="1482" s="70" customFormat="1"/>
    <row r="1483" s="70" customFormat="1"/>
    <row r="1484" s="70" customFormat="1"/>
    <row r="1485" s="70" customFormat="1"/>
    <row r="1486" s="70" customFormat="1"/>
    <row r="1487" s="70" customFormat="1"/>
    <row r="1488" s="70" customFormat="1"/>
    <row r="1489" s="70" customFormat="1"/>
    <row r="1490" s="70" customFormat="1"/>
    <row r="1491" s="70" customFormat="1"/>
    <row r="1492" s="70" customFormat="1"/>
    <row r="1493" s="70" customFormat="1"/>
    <row r="1494" s="70" customFormat="1"/>
    <row r="1495" s="70" customFormat="1"/>
    <row r="1496" s="70" customFormat="1"/>
    <row r="1497" s="70" customFormat="1"/>
    <row r="1498" s="70" customFormat="1"/>
    <row r="1499" s="70" customFormat="1"/>
    <row r="1500" s="70" customFormat="1"/>
    <row r="1501" s="70" customFormat="1"/>
    <row r="1502" s="70" customFormat="1"/>
    <row r="1503" s="70" customFormat="1"/>
    <row r="1504" s="70" customFormat="1"/>
    <row r="1505" s="70" customFormat="1"/>
    <row r="1506" s="70" customFormat="1"/>
    <row r="1507" s="70" customFormat="1"/>
    <row r="1508" s="70" customFormat="1"/>
    <row r="1509" s="70" customFormat="1"/>
    <row r="1510" s="70" customFormat="1"/>
    <row r="1511" s="70" customFormat="1"/>
    <row r="1512" s="70" customFormat="1"/>
    <row r="1513" s="70" customFormat="1"/>
    <row r="1514" s="70" customFormat="1"/>
    <row r="1515" s="70" customFormat="1"/>
    <row r="1516" s="70" customFormat="1"/>
    <row r="1517" s="70" customFormat="1"/>
    <row r="1518" s="70" customFormat="1"/>
    <row r="1519" s="70" customFormat="1"/>
    <row r="1520" s="70" customFormat="1"/>
    <row r="1521" s="70" customFormat="1"/>
    <row r="1522" s="70" customFormat="1"/>
    <row r="1523" s="70" customFormat="1"/>
    <row r="1524" s="70" customFormat="1"/>
    <row r="1525" s="70" customFormat="1"/>
    <row r="1526" s="70" customFormat="1"/>
    <row r="1527" s="70" customFormat="1"/>
    <row r="1528" s="70" customFormat="1"/>
    <row r="1529" s="70" customFormat="1"/>
    <row r="1530" s="70" customFormat="1"/>
    <row r="1531" s="70" customFormat="1"/>
    <row r="1532" s="70" customFormat="1"/>
    <row r="1533" s="70" customFormat="1"/>
    <row r="1534" s="70" customFormat="1"/>
    <row r="1535" s="70" customFormat="1"/>
    <row r="1536" s="70" customFormat="1"/>
    <row r="1537" s="70" customFormat="1"/>
    <row r="1538" s="70" customFormat="1"/>
    <row r="1539" s="70" customFormat="1"/>
    <row r="1540" s="70" customFormat="1"/>
    <row r="1541" s="70" customFormat="1"/>
    <row r="1542" s="70" customFormat="1"/>
    <row r="1543" s="70" customFormat="1"/>
    <row r="1544" s="70" customFormat="1"/>
    <row r="1545" s="70" customFormat="1"/>
    <row r="1546" s="70" customFormat="1"/>
    <row r="1547" s="70" customFormat="1"/>
    <row r="1548" s="70" customFormat="1"/>
    <row r="1549" s="70" customFormat="1"/>
    <row r="1550" s="70" customFormat="1"/>
    <row r="1551" s="70" customFormat="1"/>
    <row r="1552" s="70" customFormat="1"/>
    <row r="1553" s="70" customFormat="1"/>
    <row r="1554" s="70" customFormat="1"/>
    <row r="1555" s="70" customFormat="1"/>
    <row r="1556" s="70" customFormat="1"/>
    <row r="1557" s="70" customFormat="1"/>
    <row r="1558" s="70" customFormat="1"/>
    <row r="1559" s="70" customFormat="1"/>
    <row r="1560" s="70" customFormat="1"/>
    <row r="1561" s="70" customFormat="1"/>
    <row r="1562" s="70" customFormat="1"/>
    <row r="1563" s="70" customFormat="1"/>
    <row r="1564" s="70" customFormat="1"/>
    <row r="1565" s="70" customFormat="1"/>
    <row r="1566" s="70" customFormat="1"/>
    <row r="1567" s="70" customFormat="1"/>
    <row r="1568" s="70" customFormat="1"/>
    <row r="1569" s="70" customFormat="1"/>
    <row r="1570" s="70" customFormat="1"/>
    <row r="1571" s="70" customFormat="1"/>
    <row r="1572" s="70" customFormat="1"/>
    <row r="1573" s="70" customFormat="1"/>
    <row r="1574" s="70" customFormat="1"/>
    <row r="1575" s="70" customFormat="1"/>
    <row r="1576" s="70" customFormat="1"/>
    <row r="1577" s="70" customFormat="1"/>
    <row r="1578" s="70" customFormat="1"/>
    <row r="1579" s="70" customFormat="1"/>
    <row r="1580" s="70" customFormat="1"/>
    <row r="1581" s="70" customFormat="1"/>
    <row r="1582" s="70" customFormat="1"/>
    <row r="1583" s="70" customFormat="1"/>
    <row r="1584" s="70" customFormat="1"/>
    <row r="1585" s="70" customFormat="1"/>
    <row r="1586" s="70" customFormat="1"/>
    <row r="1587" s="70" customFormat="1"/>
    <row r="1588" s="70" customFormat="1"/>
    <row r="1589" s="70" customFormat="1"/>
    <row r="1590" s="70" customFormat="1"/>
    <row r="1591" s="70" customFormat="1"/>
    <row r="1592" s="70" customFormat="1"/>
    <row r="1593" s="70" customFormat="1"/>
    <row r="1594" s="70" customFormat="1"/>
    <row r="1595" s="70" customFormat="1"/>
    <row r="1596" s="70" customFormat="1"/>
    <row r="1597" s="70" customFormat="1"/>
    <row r="1598" s="70" customFormat="1"/>
    <row r="1599" s="70" customFormat="1"/>
    <row r="1600" s="70" customFormat="1"/>
    <row r="1601" s="70" customFormat="1"/>
    <row r="1602" s="70" customFormat="1"/>
    <row r="1603" s="70" customFormat="1"/>
    <row r="1604" s="70" customFormat="1"/>
    <row r="1605" s="70" customFormat="1"/>
    <row r="1606" s="70" customFormat="1"/>
    <row r="1607" s="70" customFormat="1"/>
    <row r="1608" s="70" customFormat="1"/>
    <row r="1609" s="70" customFormat="1"/>
    <row r="1610" s="70" customFormat="1"/>
    <row r="1611" s="70" customFormat="1"/>
    <row r="1612" s="70" customFormat="1"/>
    <row r="1613" s="70" customFormat="1"/>
    <row r="1614" s="70" customFormat="1"/>
    <row r="1615" s="70" customFormat="1"/>
    <row r="1616" s="70" customFormat="1"/>
    <row r="1617" s="70" customFormat="1"/>
    <row r="1618" s="70" customFormat="1"/>
    <row r="1619" s="70" customFormat="1"/>
    <row r="1620" s="70" customFormat="1"/>
    <row r="1621" s="70" customFormat="1"/>
    <row r="1622" s="70" customFormat="1"/>
    <row r="1623" s="70" customFormat="1"/>
    <row r="1624" s="70" customFormat="1"/>
    <row r="1625" s="70" customFormat="1"/>
    <row r="1626" s="70" customFormat="1"/>
    <row r="1627" s="70" customFormat="1"/>
    <row r="1628" s="70" customFormat="1"/>
    <row r="1629" s="70" customFormat="1"/>
    <row r="1630" s="70" customFormat="1"/>
    <row r="1631" s="70" customFormat="1"/>
    <row r="1632" s="70" customFormat="1"/>
    <row r="1633" s="70" customFormat="1"/>
    <row r="1634" s="70" customFormat="1"/>
    <row r="1635" s="70" customFormat="1"/>
    <row r="1636" s="70" customFormat="1"/>
    <row r="1637" s="70" customFormat="1"/>
    <row r="1638" s="70" customFormat="1"/>
    <row r="1639" s="70" customFormat="1"/>
    <row r="1640" s="70" customFormat="1"/>
    <row r="1641" s="70" customFormat="1"/>
    <row r="1642" s="70" customFormat="1"/>
    <row r="1643" s="70" customFormat="1"/>
    <row r="1644" s="70" customFormat="1"/>
    <row r="1645" s="70" customFormat="1"/>
    <row r="1646" s="70" customFormat="1"/>
    <row r="1647" s="70" customFormat="1"/>
    <row r="1648" s="70" customFormat="1"/>
    <row r="1649" s="70" customFormat="1"/>
    <row r="1650" s="70" customFormat="1"/>
    <row r="1651" s="70" customFormat="1"/>
    <row r="1652" s="70" customFormat="1"/>
    <row r="1653" s="70" customFormat="1"/>
    <row r="1654" s="70" customFormat="1"/>
    <row r="1655" s="70" customFormat="1"/>
    <row r="1656" s="70" customFormat="1"/>
    <row r="1657" s="70" customFormat="1"/>
    <row r="1658" s="70" customFormat="1"/>
    <row r="1659" s="70" customFormat="1"/>
    <row r="1660" s="70" customFormat="1"/>
    <row r="1661" s="70" customFormat="1"/>
    <row r="1662" s="70" customFormat="1"/>
    <row r="1663" s="70" customFormat="1"/>
    <row r="1664" s="70" customFormat="1"/>
    <row r="1665" s="70" customFormat="1"/>
    <row r="1666" s="70" customFormat="1"/>
    <row r="1667" s="70" customFormat="1"/>
    <row r="1668" s="70" customFormat="1"/>
    <row r="1669" s="70" customFormat="1"/>
    <row r="1670" s="70" customFormat="1"/>
    <row r="1671" s="70" customFormat="1"/>
    <row r="1672" s="70" customFormat="1"/>
    <row r="1673" s="70" customFormat="1"/>
    <row r="1674" s="70" customFormat="1"/>
    <row r="1675" s="70" customFormat="1"/>
    <row r="1676" s="70" customFormat="1"/>
    <row r="1677" s="70" customFormat="1"/>
    <row r="1678" s="70" customFormat="1"/>
    <row r="1679" s="70" customFormat="1"/>
    <row r="1680" s="70" customFormat="1"/>
    <row r="1681" s="70" customFormat="1"/>
    <row r="1682" s="70" customFormat="1"/>
    <row r="1683" s="70" customFormat="1"/>
    <row r="1684" s="70" customFormat="1"/>
    <row r="1685" s="70" customFormat="1"/>
    <row r="1686" s="70" customFormat="1"/>
    <row r="1687" s="70" customFormat="1"/>
    <row r="1688" s="70" customFormat="1"/>
    <row r="1689" s="70" customFormat="1"/>
    <row r="1690" s="70" customFormat="1"/>
    <row r="1691" s="70" customFormat="1"/>
    <row r="1692" s="70" customFormat="1"/>
    <row r="1693" s="70" customFormat="1"/>
    <row r="1694" s="70" customFormat="1"/>
    <row r="1695" s="70" customFormat="1"/>
    <row r="1696" s="70" customFormat="1"/>
    <row r="1697" s="70" customFormat="1"/>
    <row r="1698" s="70" customFormat="1"/>
    <row r="1699" s="70" customFormat="1"/>
    <row r="1700" s="70" customFormat="1"/>
    <row r="1701" s="70" customFormat="1"/>
    <row r="1702" s="70" customFormat="1"/>
    <row r="1703" s="70" customFormat="1"/>
    <row r="1704" s="70" customFormat="1"/>
    <row r="1705" s="70" customFormat="1"/>
    <row r="1706" s="70" customFormat="1"/>
    <row r="1707" s="70" customFormat="1"/>
    <row r="1708" s="70" customFormat="1"/>
    <row r="1709" s="70" customFormat="1"/>
    <row r="1710" s="70" customFormat="1"/>
    <row r="1711" s="70" customFormat="1"/>
    <row r="1712" s="70" customFormat="1"/>
    <row r="1713" s="70" customFormat="1"/>
    <row r="1714" s="70" customFormat="1"/>
    <row r="1715" s="70" customFormat="1"/>
    <row r="1716" s="70" customFormat="1"/>
    <row r="1717" s="70" customFormat="1"/>
    <row r="1718" s="70" customFormat="1"/>
    <row r="1719" s="70" customFormat="1"/>
    <row r="1720" s="70" customFormat="1"/>
    <row r="1721" s="70" customFormat="1"/>
    <row r="1722" s="70" customFormat="1"/>
    <row r="1723" s="70" customFormat="1"/>
    <row r="1724" s="70" customFormat="1"/>
    <row r="1725" s="70" customFormat="1"/>
    <row r="1726" s="70" customFormat="1"/>
    <row r="1727" s="70" customFormat="1"/>
    <row r="1728" s="70" customFormat="1"/>
    <row r="1729" s="70" customFormat="1"/>
    <row r="1730" s="70" customFormat="1"/>
    <row r="1731" s="70" customFormat="1"/>
    <row r="1732" s="70" customFormat="1"/>
    <row r="1733" s="70" customFormat="1"/>
    <row r="1734" s="70" customFormat="1"/>
    <row r="1735" s="70" customFormat="1"/>
    <row r="1736" s="70" customFormat="1"/>
    <row r="1737" s="70" customFormat="1"/>
    <row r="1738" s="70" customFormat="1"/>
    <row r="1739" s="70" customFormat="1"/>
    <row r="1740" s="70" customFormat="1"/>
    <row r="1741" s="70" customFormat="1"/>
    <row r="1742" s="70" customFormat="1"/>
    <row r="1743" s="70" customFormat="1"/>
    <row r="1744" s="70" customFormat="1"/>
    <row r="1745" s="70" customFormat="1"/>
    <row r="1746" s="70" customFormat="1"/>
    <row r="1747" s="70" customFormat="1"/>
    <row r="1748" s="70" customFormat="1"/>
    <row r="1749" s="70" customFormat="1"/>
    <row r="1750" s="70" customFormat="1"/>
    <row r="1751" s="70" customFormat="1"/>
    <row r="1752" s="70" customFormat="1"/>
    <row r="1753" s="70" customFormat="1"/>
    <row r="1754" s="70" customFormat="1"/>
    <row r="1755" s="70" customFormat="1"/>
    <row r="1756" s="70" customFormat="1"/>
    <row r="1757" s="70" customFormat="1"/>
    <row r="1758" s="70" customFormat="1"/>
    <row r="1759" s="70" customFormat="1"/>
    <row r="1760" s="70" customFormat="1"/>
    <row r="1761" s="70" customFormat="1"/>
    <row r="1762" s="70" customFormat="1"/>
    <row r="1763" s="70" customFormat="1"/>
    <row r="1764" s="70" customFormat="1"/>
    <row r="1765" s="70" customFormat="1"/>
    <row r="1766" s="70" customFormat="1"/>
    <row r="1767" s="70" customFormat="1"/>
    <row r="1768" s="70" customFormat="1"/>
    <row r="1769" s="70" customFormat="1"/>
    <row r="1770" s="70" customFormat="1"/>
    <row r="1771" s="70" customFormat="1"/>
    <row r="1772" s="70" customFormat="1"/>
    <row r="1773" s="70" customFormat="1"/>
    <row r="1774" s="70" customFormat="1"/>
    <row r="1775" s="70" customFormat="1"/>
    <row r="1776" s="70" customFormat="1"/>
    <row r="1777" s="70" customFormat="1"/>
    <row r="1778" s="70" customFormat="1"/>
    <row r="1779" s="70" customFormat="1"/>
    <row r="1780" s="70" customFormat="1"/>
    <row r="1781" s="70" customFormat="1"/>
    <row r="1782" s="70" customFormat="1"/>
    <row r="1783" s="70" customFormat="1"/>
    <row r="1784" s="70" customFormat="1"/>
    <row r="1785" s="70" customFormat="1"/>
    <row r="1786" s="70" customFormat="1"/>
    <row r="1787" s="70" customFormat="1"/>
    <row r="1788" s="70" customFormat="1"/>
    <row r="1789" s="70" customFormat="1"/>
    <row r="1790" s="70" customFormat="1"/>
    <row r="1791" s="70" customFormat="1"/>
    <row r="1792" s="70" customFormat="1"/>
    <row r="1793" s="70" customFormat="1"/>
    <row r="1794" s="70" customFormat="1"/>
    <row r="1795" s="70" customFormat="1"/>
    <row r="1796" s="70" customFormat="1"/>
    <row r="1797" s="70" customFormat="1"/>
    <row r="1798" s="70" customFormat="1"/>
    <row r="1799" s="70" customFormat="1"/>
    <row r="1800" s="70" customFormat="1"/>
    <row r="1801" s="70" customFormat="1"/>
    <row r="1802" s="70" customFormat="1"/>
    <row r="1803" s="70" customFormat="1"/>
    <row r="1804" s="70" customFormat="1"/>
    <row r="1805" s="70" customFormat="1"/>
    <row r="1806" s="70" customFormat="1"/>
    <row r="1807" s="70" customFormat="1"/>
    <row r="1808" s="70" customFormat="1"/>
    <row r="1809" s="70" customFormat="1"/>
    <row r="1810" s="70" customFormat="1"/>
    <row r="1811" s="70" customFormat="1"/>
    <row r="1812" s="70" customFormat="1"/>
    <row r="1813" s="70" customFormat="1"/>
    <row r="1814" s="70" customFormat="1"/>
    <row r="1815" s="70" customFormat="1"/>
    <row r="1816" s="70" customFormat="1"/>
    <row r="1817" s="70" customFormat="1"/>
    <row r="1818" s="70" customFormat="1"/>
    <row r="1819" s="70" customFormat="1"/>
    <row r="1820" s="70" customFormat="1"/>
    <row r="1821" s="70" customFormat="1"/>
    <row r="1822" s="70" customFormat="1"/>
    <row r="1823" s="70" customFormat="1"/>
    <row r="1824" s="70" customFormat="1"/>
    <row r="1825" s="70" customFormat="1"/>
    <row r="1826" s="70" customFormat="1"/>
    <row r="1827" s="70" customFormat="1"/>
    <row r="1828" s="70" customFormat="1"/>
    <row r="1829" s="70" customFormat="1"/>
    <row r="1830" s="70" customFormat="1"/>
    <row r="1831" s="70" customFormat="1"/>
    <row r="1832" s="70" customFormat="1"/>
    <row r="1833" s="70" customFormat="1"/>
    <row r="1834" s="70" customFormat="1"/>
    <row r="1835" s="70" customFormat="1"/>
    <row r="1836" s="70" customFormat="1"/>
    <row r="1837" s="70" customFormat="1"/>
    <row r="1838" s="70" customFormat="1"/>
    <row r="1839" s="70" customFormat="1"/>
    <row r="1840" s="70" customFormat="1"/>
    <row r="1841" s="70" customFormat="1"/>
    <row r="1842" s="70" customFormat="1"/>
    <row r="1843" s="70" customFormat="1"/>
    <row r="1844" s="70" customFormat="1"/>
    <row r="1845" s="70" customFormat="1"/>
    <row r="1846" s="70" customFormat="1"/>
    <row r="1847" s="70" customFormat="1"/>
    <row r="1848" s="70" customFormat="1"/>
    <row r="1849" s="70" customFormat="1"/>
    <row r="1850" s="70" customFormat="1"/>
    <row r="1851" s="70" customFormat="1"/>
    <row r="1852" s="70" customFormat="1"/>
    <row r="1853" s="70" customFormat="1"/>
    <row r="1854" s="70" customFormat="1"/>
    <row r="1855" s="70" customFormat="1"/>
    <row r="1856" s="70" customFormat="1"/>
    <row r="1857" s="70" customFormat="1"/>
    <row r="1858" s="70" customFormat="1"/>
    <row r="1859" s="70" customFormat="1"/>
    <row r="1860" s="70" customFormat="1"/>
    <row r="1861" s="70" customFormat="1"/>
    <row r="1862" s="70" customFormat="1"/>
    <row r="1863" s="70" customFormat="1"/>
    <row r="1864" s="70" customFormat="1"/>
    <row r="1865" s="70" customFormat="1"/>
    <row r="1866" s="70" customFormat="1"/>
    <row r="1867" s="70" customFormat="1"/>
    <row r="1868" s="70" customFormat="1"/>
    <row r="1869" s="70" customFormat="1"/>
    <row r="1870" s="70" customFormat="1"/>
    <row r="1871" s="70" customFormat="1"/>
    <row r="1872" s="70" customFormat="1"/>
    <row r="1873" s="70" customFormat="1"/>
    <row r="1874" s="70" customFormat="1"/>
    <row r="1875" s="70" customFormat="1"/>
    <row r="1876" s="70" customFormat="1"/>
    <row r="1877" s="70" customFormat="1"/>
    <row r="1878" s="70" customFormat="1"/>
    <row r="1879" s="70" customFormat="1"/>
    <row r="1880" s="70" customFormat="1"/>
    <row r="1881" s="70" customFormat="1"/>
    <row r="1882" s="70" customFormat="1"/>
    <row r="1883" s="70" customFormat="1"/>
    <row r="1884" s="70" customFormat="1"/>
    <row r="1885" s="70" customFormat="1"/>
    <row r="1886" s="70" customFormat="1"/>
    <row r="1887" s="70" customFormat="1"/>
    <row r="1888" s="70" customFormat="1"/>
    <row r="1889" s="70" customFormat="1"/>
    <row r="1890" s="70" customFormat="1"/>
    <row r="1891" s="70" customFormat="1"/>
    <row r="1892" s="70" customFormat="1"/>
    <row r="1893" s="70" customFormat="1"/>
    <row r="1894" s="70" customFormat="1"/>
    <row r="1895" s="70" customFormat="1"/>
    <row r="1896" s="70" customFormat="1"/>
    <row r="1897" s="70" customFormat="1"/>
    <row r="1898" s="70" customFormat="1"/>
    <row r="1899" s="70" customFormat="1"/>
    <row r="1900" s="70" customFormat="1"/>
    <row r="1901" s="70" customFormat="1"/>
    <row r="1902" s="70" customFormat="1"/>
    <row r="1903" s="70" customFormat="1"/>
    <row r="1904" s="70" customFormat="1"/>
    <row r="1905" s="70" customFormat="1"/>
    <row r="1906" s="70" customFormat="1"/>
    <row r="1907" s="70" customFormat="1"/>
    <row r="1908" s="70" customFormat="1"/>
    <row r="1909" s="70" customFormat="1"/>
    <row r="1910" s="70" customFormat="1"/>
    <row r="1911" s="70" customFormat="1"/>
    <row r="1912" s="70" customFormat="1"/>
    <row r="1913" s="70" customFormat="1"/>
    <row r="1914" s="70" customFormat="1"/>
    <row r="1915" s="70" customFormat="1"/>
    <row r="1916" s="70" customFormat="1"/>
    <row r="1917" s="70" customFormat="1"/>
    <row r="1918" s="70" customFormat="1"/>
    <row r="1919" s="70" customFormat="1"/>
    <row r="1920" s="70" customFormat="1"/>
    <row r="1921" s="70" customFormat="1"/>
    <row r="1922" s="70" customFormat="1"/>
    <row r="1923" s="70" customFormat="1"/>
    <row r="1924" s="70" customFormat="1"/>
    <row r="1925" s="70" customFormat="1"/>
    <row r="1926" s="70" customFormat="1"/>
    <row r="1927" s="70" customFormat="1"/>
    <row r="1928" s="70" customFormat="1"/>
    <row r="1929" s="70" customFormat="1"/>
    <row r="1930" s="70" customFormat="1"/>
    <row r="1931" s="70" customFormat="1"/>
    <row r="1932" s="70" customFormat="1"/>
    <row r="1933" s="70" customFormat="1"/>
    <row r="1934" s="70" customFormat="1"/>
    <row r="1935" s="70" customFormat="1"/>
    <row r="1936" s="70" customFormat="1"/>
    <row r="1937" s="70" customFormat="1"/>
    <row r="1938" s="70" customFormat="1"/>
    <row r="1939" s="70" customFormat="1"/>
    <row r="1940" s="70" customFormat="1"/>
    <row r="1941" s="70" customFormat="1"/>
    <row r="1942" s="70" customFormat="1"/>
    <row r="1943" s="70" customFormat="1"/>
    <row r="1944" s="70" customFormat="1"/>
    <row r="1945" s="70" customFormat="1"/>
    <row r="1946" s="70" customFormat="1"/>
    <row r="1947" s="70" customFormat="1"/>
    <row r="1948" s="70" customFormat="1"/>
    <row r="1949" s="70" customFormat="1"/>
    <row r="1950" s="70" customFormat="1"/>
    <row r="1951" s="70" customFormat="1"/>
    <row r="1952" s="70" customFormat="1"/>
    <row r="1953" s="70" customFormat="1"/>
    <row r="1954" s="70" customFormat="1"/>
    <row r="1955" s="70" customFormat="1"/>
    <row r="1956" s="70" customFormat="1"/>
    <row r="1957" s="70" customFormat="1"/>
    <row r="1958" s="70" customFormat="1"/>
    <row r="1959" s="70" customFormat="1"/>
    <row r="1960" s="70" customFormat="1"/>
    <row r="1961" s="70" customFormat="1"/>
    <row r="1962" s="70" customFormat="1"/>
    <row r="1963" s="70" customFormat="1"/>
    <row r="1964" s="70" customFormat="1"/>
    <row r="1965" s="70" customFormat="1"/>
    <row r="1966" s="70" customFormat="1"/>
    <row r="1967" s="70" customFormat="1"/>
    <row r="1968" s="70" customFormat="1"/>
    <row r="1969" s="70" customFormat="1"/>
    <row r="1970" s="70" customFormat="1"/>
    <row r="1971" s="70" customFormat="1"/>
    <row r="1972" s="70" customFormat="1"/>
    <row r="1973" s="70" customFormat="1"/>
    <row r="1974" s="70" customFormat="1"/>
    <row r="1975" s="70" customFormat="1"/>
    <row r="1976" s="70" customFormat="1"/>
    <row r="1977" s="70" customFormat="1"/>
    <row r="1978" s="70" customFormat="1"/>
    <row r="1979" s="70" customFormat="1"/>
    <row r="1980" s="70" customFormat="1"/>
    <row r="1981" s="70" customFormat="1"/>
    <row r="1982" s="70" customFormat="1"/>
    <row r="1983" s="70" customFormat="1"/>
    <row r="1984" s="70" customFormat="1"/>
    <row r="1985" s="70" customFormat="1"/>
    <row r="1986" s="70" customFormat="1"/>
    <row r="1987" s="70" customFormat="1"/>
    <row r="1988" s="70" customFormat="1"/>
    <row r="1989" s="70" customFormat="1"/>
    <row r="1990" s="70" customFormat="1"/>
    <row r="1991" s="70" customFormat="1"/>
    <row r="1992" s="70" customFormat="1"/>
    <row r="1993" s="70" customFormat="1"/>
    <row r="1994" s="70" customFormat="1"/>
    <row r="1995" s="70" customFormat="1"/>
    <row r="1996" s="70" customFormat="1"/>
    <row r="1997" s="70" customFormat="1"/>
    <row r="1998" s="70" customFormat="1"/>
    <row r="1999" s="70" customFormat="1"/>
    <row r="2000" s="70" customFormat="1"/>
    <row r="2001" s="70" customFormat="1"/>
    <row r="2002" s="70" customFormat="1"/>
    <row r="2003" s="70" customFormat="1"/>
    <row r="2004" s="70" customFormat="1"/>
    <row r="2005" s="70" customFormat="1"/>
    <row r="2006" s="70" customFormat="1"/>
    <row r="2007" s="70" customFormat="1"/>
    <row r="2008" s="70" customFormat="1"/>
    <row r="2009" s="70" customFormat="1"/>
    <row r="2010" s="70" customFormat="1"/>
    <row r="2011" s="70" customFormat="1"/>
    <row r="2012" s="70" customFormat="1"/>
    <row r="2013" s="70" customFormat="1"/>
    <row r="2014" s="70" customFormat="1"/>
    <row r="2015" s="70" customFormat="1"/>
    <row r="2016" s="70" customFormat="1"/>
    <row r="2017" s="70" customFormat="1"/>
    <row r="2018" s="70" customFormat="1"/>
    <row r="2019" s="70" customFormat="1"/>
    <row r="2020" s="70" customFormat="1"/>
    <row r="2021" s="70" customFormat="1"/>
    <row r="2022" s="70" customFormat="1"/>
    <row r="2023" s="70" customFormat="1"/>
    <row r="2024" s="70" customFormat="1"/>
    <row r="2025" s="70" customFormat="1"/>
    <row r="2026" s="70" customFormat="1"/>
    <row r="2027" s="70" customFormat="1"/>
    <row r="2028" s="70" customFormat="1"/>
    <row r="2029" s="70" customFormat="1"/>
    <row r="2030" s="70" customFormat="1"/>
    <row r="2031" s="70" customFormat="1"/>
    <row r="2032" s="70" customFormat="1"/>
    <row r="2033" s="70" customFormat="1"/>
    <row r="2034" s="70" customFormat="1"/>
    <row r="2035" s="70" customFormat="1"/>
    <row r="2036" s="70" customFormat="1"/>
    <row r="2037" s="70" customFormat="1"/>
    <row r="2038" s="70" customFormat="1"/>
    <row r="2039" s="70" customFormat="1"/>
    <row r="2040" s="70" customFormat="1"/>
    <row r="2041" s="70" customFormat="1"/>
    <row r="2042" s="70" customFormat="1"/>
    <row r="2043" s="70" customFormat="1"/>
    <row r="2044" s="70" customFormat="1"/>
    <row r="2045" s="70" customFormat="1"/>
    <row r="2046" s="70" customFormat="1"/>
    <row r="2047" s="70" customFormat="1"/>
    <row r="2048" s="70" customFormat="1"/>
    <row r="2049" s="70" customFormat="1"/>
    <row r="2050" s="70" customFormat="1"/>
    <row r="2051" s="70" customFormat="1"/>
    <row r="2052" s="70" customFormat="1"/>
    <row r="2053" s="70" customFormat="1"/>
    <row r="2054" s="70" customFormat="1"/>
    <row r="2055" s="70" customFormat="1"/>
    <row r="2056" s="70" customFormat="1"/>
    <row r="2057" s="70" customFormat="1"/>
    <row r="2058" s="70" customFormat="1"/>
    <row r="2059" s="70" customFormat="1"/>
    <row r="2060" s="70" customFormat="1"/>
    <row r="2061" s="70" customFormat="1"/>
    <row r="2062" s="70" customFormat="1"/>
    <row r="2063" s="70" customFormat="1"/>
    <row r="2064" s="70" customFormat="1"/>
    <row r="2065" s="70" customFormat="1"/>
    <row r="2066" s="70" customFormat="1"/>
    <row r="2067" s="70" customFormat="1"/>
    <row r="2068" s="70" customFormat="1"/>
    <row r="2069" s="70" customFormat="1"/>
    <row r="2070" s="70" customFormat="1"/>
    <row r="2071" s="70" customFormat="1"/>
    <row r="2072" s="70" customFormat="1"/>
    <row r="2073" s="70" customFormat="1"/>
    <row r="2074" s="70" customFormat="1"/>
    <row r="2075" s="70" customFormat="1"/>
    <row r="2076" s="70" customFormat="1"/>
    <row r="2077" s="70" customFormat="1"/>
    <row r="2078" s="70" customFormat="1"/>
    <row r="2079" s="70" customFormat="1"/>
    <row r="2080" s="70" customFormat="1"/>
    <row r="2081" s="70" customFormat="1"/>
    <row r="2082" s="70" customFormat="1"/>
    <row r="2083" s="70" customFormat="1"/>
    <row r="2084" s="70" customFormat="1"/>
    <row r="2085" s="70" customFormat="1"/>
    <row r="2086" s="70" customFormat="1"/>
    <row r="2087" s="70" customFormat="1"/>
    <row r="2088" s="70" customFormat="1"/>
    <row r="2089" s="70" customFormat="1"/>
    <row r="2090" s="70" customFormat="1"/>
    <row r="2091" s="70" customFormat="1"/>
    <row r="2092" s="70" customFormat="1"/>
    <row r="2093" s="70" customFormat="1"/>
    <row r="2094" s="70" customFormat="1"/>
    <row r="2095" s="70" customFormat="1"/>
    <row r="2096" s="70" customFormat="1"/>
    <row r="2097" s="70" customFormat="1"/>
    <row r="2098" s="70" customFormat="1"/>
    <row r="2099" s="70" customFormat="1"/>
    <row r="2100" s="70" customFormat="1"/>
    <row r="2101" s="70" customFormat="1"/>
    <row r="2102" s="70" customFormat="1"/>
    <row r="2103" s="70" customFormat="1"/>
    <row r="2104" s="70" customFormat="1"/>
    <row r="2105" s="70" customFormat="1"/>
    <row r="2106" s="70" customFormat="1"/>
    <row r="2107" s="70" customFormat="1"/>
    <row r="2108" s="70" customFormat="1"/>
    <row r="2109" s="70" customFormat="1"/>
    <row r="2110" s="70" customFormat="1"/>
    <row r="2111" s="70" customFormat="1"/>
    <row r="2112" s="70" customFormat="1"/>
    <row r="2113" s="70" customFormat="1"/>
    <row r="2114" s="70" customFormat="1"/>
    <row r="2115" s="70" customFormat="1"/>
    <row r="2116" s="70" customFormat="1"/>
    <row r="2117" s="70" customFormat="1"/>
    <row r="2118" s="70" customFormat="1"/>
    <row r="2119" s="70" customFormat="1"/>
    <row r="2120" s="70" customFormat="1"/>
    <row r="2121" s="70" customFormat="1"/>
    <row r="2122" s="70" customFormat="1"/>
    <row r="2123" s="70" customFormat="1"/>
    <row r="2124" s="70" customFormat="1"/>
    <row r="2125" s="70" customFormat="1"/>
    <row r="2126" s="70" customFormat="1"/>
    <row r="2127" s="70" customFormat="1"/>
    <row r="2128" s="70" customFormat="1"/>
    <row r="2129" s="70" customFormat="1"/>
    <row r="2130" s="70" customFormat="1"/>
    <row r="2131" s="70" customFormat="1"/>
    <row r="2132" s="70" customFormat="1"/>
    <row r="2133" s="70" customFormat="1"/>
    <row r="2134" s="70" customFormat="1"/>
    <row r="2135" s="70" customFormat="1"/>
    <row r="2136" s="70" customFormat="1"/>
    <row r="2137" s="70" customFormat="1"/>
    <row r="2138" s="70" customFormat="1"/>
    <row r="2139" s="70" customFormat="1"/>
    <row r="2140" s="70" customFormat="1"/>
    <row r="2141" s="70" customFormat="1"/>
    <row r="2142" s="70" customFormat="1"/>
    <row r="2143" s="70" customFormat="1"/>
    <row r="2144" s="70" customFormat="1"/>
    <row r="2145" s="70" customFormat="1"/>
    <row r="2146" s="70" customFormat="1"/>
    <row r="2147" s="70" customFormat="1"/>
    <row r="2148" s="70" customFormat="1"/>
    <row r="2149" s="70" customFormat="1"/>
    <row r="2150" s="70" customFormat="1"/>
    <row r="2151" s="70" customFormat="1"/>
    <row r="2152" s="70" customFormat="1"/>
    <row r="2153" s="70" customFormat="1"/>
    <row r="2154" s="70" customFormat="1"/>
    <row r="2155" s="70" customFormat="1"/>
    <row r="2156" s="70" customFormat="1"/>
    <row r="2157" s="70" customFormat="1"/>
    <row r="2158" s="70" customFormat="1"/>
    <row r="2159" s="70" customFormat="1"/>
    <row r="2160" s="70" customFormat="1"/>
    <row r="2161" s="70" customFormat="1"/>
    <row r="2162" s="70" customFormat="1"/>
    <row r="2163" s="70" customFormat="1"/>
    <row r="2164" s="70" customFormat="1"/>
    <row r="2165" s="70" customFormat="1"/>
    <row r="2166" s="70" customFormat="1"/>
    <row r="2167" s="70" customFormat="1"/>
    <row r="2168" s="70" customFormat="1"/>
    <row r="2169" s="70" customFormat="1"/>
    <row r="2170" s="70" customFormat="1"/>
    <row r="2171" s="70" customFormat="1"/>
    <row r="2172" s="70" customFormat="1"/>
    <row r="2173" s="70" customFormat="1"/>
    <row r="2174" s="70" customFormat="1"/>
    <row r="2175" s="70" customFormat="1"/>
    <row r="2176" s="70" customFormat="1"/>
    <row r="2177" s="70" customFormat="1"/>
    <row r="2178" s="70" customFormat="1"/>
    <row r="2179" s="70" customFormat="1"/>
    <row r="2180" s="70" customFormat="1"/>
    <row r="2181" s="70" customFormat="1"/>
    <row r="2182" s="70" customFormat="1"/>
    <row r="2183" s="70" customFormat="1"/>
    <row r="2184" s="70" customFormat="1"/>
    <row r="2185" s="70" customFormat="1"/>
    <row r="2186" s="70" customFormat="1"/>
    <row r="2187" s="70" customFormat="1"/>
    <row r="2188" s="70" customFormat="1"/>
    <row r="2189" s="70" customFormat="1"/>
    <row r="2190" s="70" customFormat="1"/>
    <row r="2191" s="70" customFormat="1"/>
    <row r="2192" s="70" customFormat="1"/>
    <row r="2193" s="70" customFormat="1"/>
    <row r="2194" s="70" customFormat="1"/>
    <row r="2195" s="70" customFormat="1"/>
    <row r="2196" s="70" customFormat="1"/>
    <row r="2197" s="70" customFormat="1"/>
    <row r="2198" s="70" customFormat="1"/>
    <row r="2199" s="70" customFormat="1"/>
    <row r="2200" s="70" customFormat="1"/>
    <row r="2201" s="70" customFormat="1"/>
    <row r="2202" s="70" customFormat="1"/>
    <row r="2203" s="70" customFormat="1"/>
    <row r="2204" s="70" customFormat="1"/>
    <row r="2205" s="70" customFormat="1"/>
    <row r="2206" s="70" customFormat="1"/>
    <row r="2207" s="70" customFormat="1"/>
    <row r="2208" s="70" customFormat="1"/>
    <row r="2209" s="70" customFormat="1"/>
    <row r="2210" s="70" customFormat="1"/>
    <row r="2211" s="70" customFormat="1"/>
    <row r="2212" s="70" customFormat="1"/>
    <row r="2213" s="70" customFormat="1"/>
    <row r="2214" s="70" customFormat="1"/>
    <row r="2215" s="70" customFormat="1"/>
    <row r="2216" s="70" customFormat="1"/>
    <row r="2217" s="70" customFormat="1"/>
    <row r="2218" s="70" customFormat="1"/>
    <row r="2219" s="70" customFormat="1"/>
    <row r="2220" s="70" customFormat="1"/>
    <row r="2221" s="70" customFormat="1"/>
    <row r="2222" s="70" customFormat="1"/>
    <row r="2223" s="70" customFormat="1"/>
    <row r="2224" s="70" customFormat="1"/>
    <row r="2225" s="70" customFormat="1"/>
    <row r="2226" s="70" customFormat="1"/>
    <row r="2227" s="70" customFormat="1"/>
    <row r="2228" s="70" customFormat="1"/>
    <row r="2229" s="70" customFormat="1"/>
    <row r="2230" s="70" customFormat="1"/>
    <row r="2231" s="70" customFormat="1"/>
    <row r="2232" s="70" customFormat="1"/>
    <row r="2233" s="70" customFormat="1"/>
    <row r="2234" s="70" customFormat="1"/>
    <row r="2235" s="70" customFormat="1"/>
    <row r="2236" s="70" customFormat="1"/>
    <row r="2237" s="70" customFormat="1"/>
    <row r="2238" s="70" customFormat="1"/>
    <row r="2239" s="70" customFormat="1"/>
    <row r="2240" s="70" customFormat="1"/>
    <row r="2241" s="70" customFormat="1"/>
    <row r="2242" s="70" customFormat="1"/>
    <row r="2243" s="70" customFormat="1"/>
    <row r="2244" s="70" customFormat="1"/>
    <row r="2245" s="70" customFormat="1"/>
    <row r="2246" s="70" customFormat="1"/>
    <row r="2247" s="70" customFormat="1"/>
    <row r="2248" s="70" customFormat="1"/>
    <row r="2249" s="70" customFormat="1"/>
    <row r="2250" s="70" customFormat="1"/>
    <row r="2251" s="70" customFormat="1"/>
    <row r="2252" s="70" customFormat="1"/>
    <row r="2253" s="70" customFormat="1"/>
    <row r="2254" s="70" customFormat="1"/>
    <row r="2255" s="70" customFormat="1"/>
    <row r="2256" s="70" customFormat="1"/>
    <row r="2257" s="70" customFormat="1"/>
    <row r="2258" s="70" customFormat="1"/>
    <row r="2259" s="70" customFormat="1"/>
    <row r="2260" s="70" customFormat="1"/>
    <row r="2261" s="70" customFormat="1"/>
    <row r="2262" s="70" customFormat="1"/>
    <row r="2263" s="70" customFormat="1"/>
    <row r="2264" s="70" customFormat="1"/>
    <row r="2265" s="70" customFormat="1"/>
    <row r="2266" s="70" customFormat="1"/>
    <row r="2267" s="70" customFormat="1"/>
    <row r="2268" s="70" customFormat="1"/>
    <row r="2269" s="70" customFormat="1"/>
    <row r="2270" s="70" customFormat="1"/>
    <row r="2271" s="70" customFormat="1"/>
    <row r="2272" s="70" customFormat="1"/>
    <row r="2273" s="70" customFormat="1"/>
    <row r="2274" s="70" customFormat="1"/>
    <row r="2275" s="70" customFormat="1"/>
    <row r="2276" s="70" customFormat="1"/>
    <row r="2277" s="70" customFormat="1"/>
    <row r="2278" s="70" customFormat="1"/>
    <row r="2279" s="70" customFormat="1"/>
    <row r="2280" s="70" customFormat="1"/>
    <row r="2281" s="70" customFormat="1"/>
    <row r="2282" s="70" customFormat="1"/>
    <row r="2283" s="70" customFormat="1"/>
    <row r="2284" s="70" customFormat="1"/>
    <row r="2285" s="70" customFormat="1"/>
    <row r="2286" s="70" customFormat="1"/>
    <row r="2287" s="70" customFormat="1"/>
    <row r="2288" s="70" customFormat="1"/>
    <row r="2289" s="70" customFormat="1"/>
    <row r="2290" s="70" customFormat="1"/>
    <row r="2291" s="70" customFormat="1"/>
    <row r="2292" s="70" customFormat="1"/>
    <row r="2293" s="70" customFormat="1"/>
    <row r="2294" s="70" customFormat="1"/>
    <row r="2295" s="70" customFormat="1"/>
    <row r="2296" s="70" customFormat="1"/>
    <row r="2297" s="70" customFormat="1"/>
    <row r="2298" s="70" customFormat="1"/>
    <row r="2299" s="70" customFormat="1"/>
    <row r="2300" s="70" customFormat="1"/>
    <row r="2301" s="70" customFormat="1"/>
    <row r="2302" s="70" customFormat="1"/>
    <row r="2303" s="70" customFormat="1"/>
    <row r="2304" s="70" customFormat="1"/>
    <row r="2305" s="70" customFormat="1"/>
    <row r="2306" s="70" customFormat="1"/>
    <row r="2307" s="70" customFormat="1"/>
    <row r="2308" s="70" customFormat="1"/>
    <row r="2309" s="70" customFormat="1"/>
    <row r="2310" s="70" customFormat="1"/>
    <row r="2311" s="70" customFormat="1"/>
    <row r="2312" s="70" customFormat="1"/>
    <row r="2313" s="70" customFormat="1"/>
    <row r="2314" s="70" customFormat="1"/>
    <row r="2315" s="70" customFormat="1"/>
    <row r="2316" s="70" customFormat="1"/>
    <row r="2317" s="70" customFormat="1"/>
    <row r="2318" s="70" customFormat="1"/>
    <row r="2319" s="70" customFormat="1"/>
    <row r="2320" s="70" customFormat="1"/>
    <row r="2321" s="70" customFormat="1"/>
    <row r="2322" s="70" customFormat="1"/>
    <row r="2323" s="70" customFormat="1"/>
    <row r="2324" s="70" customFormat="1"/>
    <row r="2325" s="70" customFormat="1"/>
    <row r="2326" s="70" customFormat="1"/>
    <row r="2327" s="70" customFormat="1"/>
    <row r="2328" s="70" customFormat="1"/>
    <row r="2329" s="70" customFormat="1"/>
    <row r="2330" s="70" customFormat="1"/>
    <row r="2331" s="70" customFormat="1"/>
    <row r="2332" s="70" customFormat="1"/>
    <row r="2333" s="70" customFormat="1"/>
    <row r="2334" s="70" customFormat="1"/>
    <row r="2335" s="70" customFormat="1"/>
    <row r="2336" s="70" customFormat="1"/>
    <row r="2337" s="70" customFormat="1"/>
    <row r="2338" s="70" customFormat="1"/>
    <row r="2339" s="70" customFormat="1"/>
    <row r="2340" s="70" customFormat="1"/>
    <row r="2341" s="70" customFormat="1"/>
    <row r="2342" s="70" customFormat="1"/>
    <row r="2343" s="70" customFormat="1"/>
    <row r="2344" s="70" customFormat="1"/>
    <row r="2345" s="70" customFormat="1"/>
    <row r="2346" s="70" customFormat="1"/>
    <row r="2347" s="70" customFormat="1"/>
    <row r="2348" s="70" customFormat="1"/>
    <row r="2349" s="70" customFormat="1"/>
    <row r="2350" s="70" customFormat="1"/>
    <row r="2351" s="70" customFormat="1"/>
    <row r="2352" s="70" customFormat="1"/>
    <row r="2353" s="70" customFormat="1"/>
    <row r="2354" s="70" customFormat="1"/>
    <row r="2355" s="70" customFormat="1"/>
    <row r="2356" s="70" customFormat="1"/>
    <row r="2357" s="70" customFormat="1"/>
    <row r="2358" s="70" customFormat="1"/>
    <row r="2359" s="70" customFormat="1"/>
    <row r="2360" s="70" customFormat="1"/>
    <row r="2361" s="70" customFormat="1"/>
    <row r="2362" s="70" customFormat="1"/>
    <row r="2363" s="70" customFormat="1"/>
    <row r="2364" s="70" customFormat="1"/>
    <row r="2365" s="70" customFormat="1"/>
    <row r="2366" s="70" customFormat="1"/>
    <row r="2367" s="70" customFormat="1"/>
    <row r="2368" s="70" customFormat="1"/>
    <row r="2369" s="70" customFormat="1"/>
    <row r="2370" s="70" customFormat="1"/>
    <row r="2371" s="70" customFormat="1"/>
    <row r="2372" s="70" customFormat="1"/>
    <row r="2373" s="70" customFormat="1"/>
    <row r="2374" s="70" customFormat="1"/>
    <row r="2375" s="70" customFormat="1"/>
    <row r="2376" s="70" customFormat="1"/>
    <row r="2377" s="70" customFormat="1"/>
    <row r="2378" s="70" customFormat="1"/>
    <row r="2379" s="70" customFormat="1"/>
    <row r="2380" s="70" customFormat="1"/>
    <row r="2381" s="70" customFormat="1"/>
    <row r="2382" s="70" customFormat="1"/>
    <row r="2383" s="70" customFormat="1"/>
    <row r="2384" s="70" customFormat="1"/>
    <row r="2385" s="70" customFormat="1"/>
    <row r="2386" s="70" customFormat="1"/>
    <row r="2387" s="70" customFormat="1"/>
    <row r="2388" s="70" customFormat="1"/>
    <row r="2389" s="70" customFormat="1"/>
    <row r="2390" s="70" customFormat="1"/>
    <row r="2391" s="70" customFormat="1"/>
    <row r="2392" s="70" customFormat="1"/>
    <row r="2393" s="70" customFormat="1"/>
    <row r="2394" s="70" customFormat="1"/>
    <row r="2395" s="70" customFormat="1"/>
    <row r="2396" s="70" customFormat="1"/>
    <row r="2397" s="70" customFormat="1"/>
    <row r="2398" s="70" customFormat="1"/>
    <row r="2399" s="70" customFormat="1"/>
    <row r="2400" s="70" customFormat="1"/>
    <row r="2401" s="70" customFormat="1"/>
    <row r="2402" s="70" customFormat="1"/>
    <row r="2403" s="70" customFormat="1"/>
    <row r="2404" s="70" customFormat="1"/>
    <row r="2405" s="70" customFormat="1"/>
    <row r="2406" s="70" customFormat="1"/>
    <row r="2407" s="70" customFormat="1"/>
    <row r="2408" s="70" customFormat="1"/>
    <row r="2409" s="70" customFormat="1"/>
    <row r="2410" s="70" customFormat="1"/>
    <row r="2411" s="70" customFormat="1"/>
    <row r="2412" s="70" customFormat="1"/>
    <row r="2413" s="70" customFormat="1"/>
    <row r="2414" s="70" customFormat="1"/>
    <row r="2415" s="70" customFormat="1"/>
    <row r="2416" s="70" customFormat="1"/>
    <row r="2417" s="70" customFormat="1"/>
    <row r="2418" s="70" customFormat="1"/>
    <row r="2419" s="70" customFormat="1"/>
    <row r="2420" s="70" customFormat="1"/>
    <row r="2421" s="70" customFormat="1"/>
    <row r="2422" s="70" customFormat="1"/>
    <row r="2423" s="70" customFormat="1"/>
    <row r="2424" s="70" customFormat="1"/>
    <row r="2425" s="70" customFormat="1"/>
    <row r="2426" s="70" customFormat="1"/>
    <row r="2427" s="70" customFormat="1"/>
    <row r="2428" s="70" customFormat="1"/>
    <row r="2429" s="70" customFormat="1"/>
    <row r="2430" s="70" customFormat="1"/>
    <row r="2431" s="70" customFormat="1"/>
    <row r="2432" s="70" customFormat="1"/>
    <row r="2433" s="70" customFormat="1"/>
    <row r="2434" s="70" customFormat="1"/>
    <row r="2435" s="70" customFormat="1"/>
    <row r="2436" s="70" customFormat="1"/>
    <row r="2437" s="70" customFormat="1"/>
    <row r="2438" s="70" customFormat="1"/>
    <row r="2439" s="70" customFormat="1"/>
    <row r="2440" s="70" customFormat="1"/>
    <row r="2441" s="70" customFormat="1"/>
    <row r="2442" s="70" customFormat="1"/>
    <row r="2443" s="70" customFormat="1"/>
    <row r="2444" s="70" customFormat="1"/>
    <row r="2445" s="70" customFormat="1"/>
    <row r="2446" s="70" customFormat="1"/>
    <row r="2447" s="70" customFormat="1"/>
    <row r="2448" s="70" customFormat="1"/>
    <row r="2449" s="70" customFormat="1"/>
    <row r="2450" s="70" customFormat="1"/>
    <row r="2451" s="70" customFormat="1"/>
    <row r="2452" s="70" customFormat="1"/>
    <row r="2453" s="70" customFormat="1"/>
    <row r="2454" s="70" customFormat="1"/>
    <row r="2455" s="70" customFormat="1"/>
    <row r="2456" s="70" customFormat="1"/>
    <row r="2457" s="70" customFormat="1"/>
    <row r="2458" s="70" customFormat="1"/>
    <row r="2459" s="70" customFormat="1"/>
    <row r="2460" s="70" customFormat="1"/>
    <row r="2461" s="70" customFormat="1"/>
    <row r="2462" s="70" customFormat="1"/>
    <row r="2463" s="70" customFormat="1"/>
    <row r="2464" s="70" customFormat="1"/>
    <row r="2465" s="70" customFormat="1"/>
    <row r="2466" s="70" customFormat="1"/>
    <row r="2467" s="70" customFormat="1"/>
    <row r="2468" s="70" customFormat="1"/>
    <row r="2469" s="70" customFormat="1"/>
    <row r="2470" s="70" customFormat="1"/>
    <row r="2471" s="70" customFormat="1"/>
    <row r="2472" s="70" customFormat="1"/>
    <row r="2473" s="70" customFormat="1"/>
    <row r="2474" s="70" customFormat="1"/>
    <row r="2475" s="70" customFormat="1"/>
    <row r="2476" s="70" customFormat="1"/>
    <row r="2477" s="70" customFormat="1"/>
    <row r="2478" s="70" customFormat="1"/>
    <row r="2479" s="70" customFormat="1"/>
    <row r="2480" s="70" customFormat="1"/>
    <row r="2481" s="70" customFormat="1"/>
    <row r="2482" s="70" customFormat="1"/>
    <row r="2483" s="70" customFormat="1"/>
    <row r="2484" s="70" customFormat="1"/>
    <row r="2485" s="70" customFormat="1"/>
    <row r="2486" s="70" customFormat="1"/>
    <row r="2487" s="70" customFormat="1"/>
    <row r="2488" s="70" customFormat="1"/>
    <row r="2489" s="70" customFormat="1"/>
    <row r="2490" s="70" customFormat="1"/>
    <row r="2491" s="70" customFormat="1"/>
    <row r="2492" s="70" customFormat="1"/>
    <row r="2493" s="70" customFormat="1"/>
    <row r="2494" s="70" customFormat="1"/>
    <row r="2495" s="70" customFormat="1"/>
    <row r="2496" s="70" customFormat="1"/>
    <row r="2497" s="70" customFormat="1"/>
    <row r="2498" s="70" customFormat="1"/>
    <row r="2499" s="70" customFormat="1"/>
    <row r="2500" s="70" customFormat="1"/>
    <row r="2501" s="70" customFormat="1"/>
    <row r="2502" s="70" customFormat="1"/>
    <row r="2503" s="70" customFormat="1"/>
    <row r="2504" s="70" customFormat="1"/>
    <row r="2505" s="70" customFormat="1"/>
    <row r="2506" s="70" customFormat="1"/>
    <row r="2507" s="70" customFormat="1"/>
    <row r="2508" s="70" customFormat="1"/>
    <row r="2509" s="70" customFormat="1"/>
    <row r="2510" s="70" customFormat="1"/>
    <row r="2511" s="70" customFormat="1"/>
    <row r="2512" s="70" customFormat="1"/>
    <row r="2513" s="70" customFormat="1"/>
    <row r="2514" s="70" customFormat="1"/>
    <row r="2515" s="70" customFormat="1"/>
    <row r="2516" s="70" customFormat="1"/>
    <row r="2517" s="70" customFormat="1"/>
    <row r="2518" s="70" customFormat="1"/>
    <row r="2519" s="70" customFormat="1"/>
    <row r="2520" s="70" customFormat="1"/>
    <row r="2521" s="70" customFormat="1"/>
    <row r="2522" s="70" customFormat="1"/>
    <row r="2523" s="70" customFormat="1"/>
    <row r="2524" s="70" customFormat="1"/>
    <row r="2525" s="70" customFormat="1"/>
    <row r="2526" s="70" customFormat="1"/>
    <row r="2527" s="70" customFormat="1"/>
    <row r="2528" s="70" customFormat="1"/>
    <row r="2529" s="70" customFormat="1"/>
    <row r="2530" s="70" customFormat="1"/>
    <row r="2531" s="70" customFormat="1"/>
    <row r="2532" s="70" customFormat="1"/>
    <row r="2533" s="70" customFormat="1"/>
    <row r="2534" s="70" customFormat="1"/>
    <row r="2535" s="70" customFormat="1"/>
    <row r="2536" s="70" customFormat="1"/>
    <row r="2537" s="70" customFormat="1"/>
    <row r="2538" s="70" customFormat="1"/>
    <row r="2539" s="70" customFormat="1"/>
    <row r="2540" s="70" customFormat="1"/>
    <row r="2541" s="70" customFormat="1"/>
    <row r="2542" s="70" customFormat="1"/>
    <row r="2543" s="70" customFormat="1"/>
    <row r="2544" s="70" customFormat="1"/>
    <row r="2545" s="70" customFormat="1"/>
    <row r="2546" s="70" customFormat="1"/>
    <row r="2547" s="70" customFormat="1"/>
    <row r="2548" s="70" customFormat="1"/>
    <row r="2549" s="70" customFormat="1"/>
    <row r="2550" s="70" customFormat="1"/>
    <row r="2551" s="70" customFormat="1"/>
    <row r="2552" s="70" customFormat="1"/>
    <row r="2553" s="70" customFormat="1"/>
    <row r="2554" s="70" customFormat="1"/>
    <row r="2555" s="70" customFormat="1"/>
    <row r="2556" s="70" customFormat="1"/>
    <row r="2557" s="70" customFormat="1"/>
    <row r="2558" s="70" customFormat="1"/>
    <row r="2559" s="70" customFormat="1"/>
    <row r="2560" s="70" customFormat="1"/>
    <row r="2561" s="70" customFormat="1"/>
    <row r="2562" s="70" customFormat="1"/>
    <row r="2563" s="70" customFormat="1"/>
    <row r="2564" s="70" customFormat="1"/>
    <row r="2565" s="70" customFormat="1"/>
    <row r="2566" s="70" customFormat="1"/>
    <row r="2567" s="70" customFormat="1"/>
    <row r="2568" s="70" customFormat="1"/>
    <row r="2569" s="70" customFormat="1"/>
    <row r="2570" s="70" customFormat="1"/>
    <row r="2571" s="70" customFormat="1"/>
    <row r="2572" s="70" customFormat="1"/>
    <row r="2573" s="70" customFormat="1"/>
    <row r="2574" s="70" customFormat="1"/>
    <row r="2575" s="70" customFormat="1"/>
    <row r="2576" s="70" customFormat="1"/>
    <row r="2577" s="70" customFormat="1"/>
    <row r="2578" s="70" customFormat="1"/>
    <row r="2579" s="70" customFormat="1"/>
    <row r="2580" s="70" customFormat="1"/>
    <row r="2581" s="70" customFormat="1"/>
    <row r="2582" s="70" customFormat="1"/>
    <row r="2583" s="70" customFormat="1"/>
    <row r="2584" s="70" customFormat="1"/>
    <row r="2585" s="70" customFormat="1"/>
    <row r="2586" s="70" customFormat="1"/>
    <row r="2587" s="70" customFormat="1"/>
    <row r="2588" s="70" customFormat="1"/>
    <row r="2589" s="70" customFormat="1"/>
    <row r="2590" s="70" customFormat="1"/>
    <row r="2591" s="70" customFormat="1"/>
    <row r="2592" s="70" customFormat="1"/>
    <row r="2593" s="70" customFormat="1"/>
    <row r="2594" s="70" customFormat="1"/>
    <row r="2595" s="70" customFormat="1"/>
    <row r="2596" s="70" customFormat="1"/>
    <row r="2597" s="70" customFormat="1"/>
    <row r="2598" s="70" customFormat="1"/>
    <row r="2599" s="70" customFormat="1"/>
    <row r="2600" s="70" customFormat="1"/>
    <row r="2601" s="70" customFormat="1"/>
    <row r="2602" s="70" customFormat="1"/>
    <row r="2603" s="70" customFormat="1"/>
    <row r="2604" s="70" customFormat="1"/>
    <row r="2605" s="70" customFormat="1"/>
    <row r="2606" s="70" customFormat="1"/>
    <row r="2607" s="70" customFormat="1"/>
    <row r="2608" s="70" customFormat="1"/>
    <row r="2609" s="70" customFormat="1"/>
    <row r="2610" s="70" customFormat="1"/>
    <row r="2611" s="70" customFormat="1"/>
    <row r="2612" s="70" customFormat="1"/>
    <row r="2613" s="70" customFormat="1"/>
    <row r="2614" s="70" customFormat="1"/>
    <row r="2615" s="70" customFormat="1"/>
    <row r="2616" s="70" customFormat="1"/>
    <row r="2617" s="70" customFormat="1"/>
    <row r="2618" s="70" customFormat="1"/>
    <row r="2619" s="70" customFormat="1"/>
    <row r="2620" s="70" customFormat="1"/>
    <row r="2621" s="70" customFormat="1"/>
    <row r="2622" s="70" customFormat="1"/>
    <row r="2623" s="70" customFormat="1"/>
    <row r="2624" s="70" customFormat="1"/>
    <row r="2625" s="70" customFormat="1"/>
    <row r="2626" s="70" customFormat="1"/>
    <row r="2627" s="70" customFormat="1"/>
    <row r="2628" s="70" customFormat="1"/>
    <row r="2629" s="70" customFormat="1"/>
    <row r="2630" s="70" customFormat="1"/>
    <row r="2631" s="70" customFormat="1"/>
    <row r="2632" s="70" customFormat="1"/>
    <row r="2633" s="70" customFormat="1"/>
    <row r="2634" s="70" customFormat="1"/>
    <row r="2635" s="70" customFormat="1"/>
    <row r="2636" s="70" customFormat="1"/>
    <row r="2637" s="70" customFormat="1"/>
    <row r="2638" s="70" customFormat="1"/>
    <row r="2639" s="70" customFormat="1"/>
    <row r="2640" s="70" customFormat="1"/>
    <row r="2641" s="70" customFormat="1"/>
    <row r="2642" s="70" customFormat="1"/>
    <row r="2643" s="70" customFormat="1"/>
    <row r="2644" s="70" customFormat="1"/>
    <row r="2645" s="70" customFormat="1"/>
    <row r="2646" s="70" customFormat="1"/>
    <row r="2647" s="70" customFormat="1"/>
    <row r="2648" s="70" customFormat="1"/>
    <row r="2649" s="70" customFormat="1"/>
    <row r="2650" s="70" customFormat="1"/>
    <row r="2651" s="70" customFormat="1"/>
    <row r="2652" s="70" customFormat="1"/>
    <row r="2653" s="70" customFormat="1"/>
    <row r="2654" s="70" customFormat="1"/>
    <row r="2655" s="70" customFormat="1"/>
    <row r="2656" s="70" customFormat="1"/>
    <row r="2657" s="70" customFormat="1"/>
    <row r="2658" s="70" customFormat="1"/>
    <row r="2659" s="70" customFormat="1"/>
    <row r="2660" s="70" customFormat="1"/>
    <row r="2661" s="70" customFormat="1"/>
    <row r="2662" s="70" customFormat="1"/>
    <row r="2663" s="70" customFormat="1"/>
    <row r="2664" s="70" customFormat="1"/>
    <row r="2665" s="70" customFormat="1"/>
    <row r="2666" s="70" customFormat="1"/>
    <row r="2667" s="70" customFormat="1"/>
    <row r="2668" s="70" customFormat="1"/>
    <row r="2669" s="70" customFormat="1"/>
    <row r="2670" s="70" customFormat="1"/>
    <row r="2671" s="70" customFormat="1"/>
    <row r="2672" s="70" customFormat="1"/>
    <row r="2673" s="70" customFormat="1"/>
    <row r="2674" s="70" customFormat="1"/>
    <row r="2675" s="70" customFormat="1"/>
    <row r="2676" s="70" customFormat="1"/>
    <row r="2677" s="70" customFormat="1"/>
    <row r="2678" s="70" customFormat="1"/>
    <row r="2679" s="70" customFormat="1"/>
    <row r="2680" s="70" customFormat="1"/>
    <row r="2681" s="70" customFormat="1"/>
    <row r="2682" s="70" customFormat="1"/>
    <row r="2683" s="70" customFormat="1"/>
    <row r="2684" s="70" customFormat="1"/>
    <row r="2685" s="70" customFormat="1"/>
    <row r="2686" s="70" customFormat="1"/>
    <row r="2687" s="70" customFormat="1"/>
    <row r="2688" s="70" customFormat="1"/>
    <row r="2689" s="70" customFormat="1"/>
    <row r="2690" s="70" customFormat="1"/>
    <row r="2691" s="70" customFormat="1"/>
    <row r="2692" s="70" customFormat="1"/>
    <row r="2693" s="70" customFormat="1"/>
    <row r="2694" s="70" customFormat="1"/>
    <row r="2695" s="70" customFormat="1"/>
    <row r="2696" s="70" customFormat="1"/>
    <row r="2697" s="70" customFormat="1"/>
    <row r="2698" s="70" customFormat="1"/>
    <row r="2699" s="70" customFormat="1"/>
    <row r="2700" s="70" customFormat="1"/>
    <row r="2701" s="70" customFormat="1"/>
    <row r="2702" s="70" customFormat="1"/>
    <row r="2703" s="70" customFormat="1"/>
    <row r="2704" s="70" customFormat="1"/>
    <row r="2705" s="70" customFormat="1"/>
    <row r="2706" s="70" customFormat="1"/>
    <row r="2707" s="70" customFormat="1"/>
    <row r="2708" s="70" customFormat="1"/>
    <row r="2709" s="70" customFormat="1"/>
    <row r="2710" s="70" customFormat="1"/>
    <row r="2711" s="70" customFormat="1"/>
    <row r="2712" s="70" customFormat="1"/>
    <row r="2713" s="70" customFormat="1"/>
    <row r="2714" s="70" customFormat="1"/>
    <row r="2715" s="70" customFormat="1"/>
    <row r="2716" s="70" customFormat="1"/>
    <row r="2717" s="70" customFormat="1"/>
    <row r="2718" s="70" customFormat="1"/>
    <row r="2719" s="70" customFormat="1"/>
    <row r="2720" s="70" customFormat="1"/>
    <row r="2721" s="70" customFormat="1"/>
    <row r="2722" s="70" customFormat="1"/>
    <row r="2723" s="70" customFormat="1"/>
    <row r="2724" s="70" customFormat="1"/>
    <row r="2725" s="70" customFormat="1"/>
    <row r="2726" s="70" customFormat="1"/>
    <row r="2727" s="70" customFormat="1"/>
    <row r="2728" s="70" customFormat="1"/>
    <row r="2729" s="70" customFormat="1"/>
    <row r="2730" s="70" customFormat="1"/>
    <row r="2731" s="70" customFormat="1"/>
    <row r="2732" s="70" customFormat="1"/>
    <row r="2733" s="70" customFormat="1"/>
    <row r="2734" s="70" customFormat="1"/>
    <row r="2735" s="70" customFormat="1"/>
    <row r="2736" s="70" customFormat="1"/>
    <row r="2737" s="70" customFormat="1"/>
    <row r="2738" s="70" customFormat="1"/>
    <row r="2739" s="70" customFormat="1"/>
    <row r="2740" s="70" customFormat="1"/>
    <row r="2741" s="70" customFormat="1"/>
    <row r="2742" s="70" customFormat="1"/>
    <row r="2743" s="70" customFormat="1"/>
    <row r="2744" s="70" customFormat="1"/>
    <row r="2745" s="70" customFormat="1"/>
    <row r="2746" s="70" customFormat="1"/>
    <row r="2747" s="70" customFormat="1"/>
    <row r="2748" s="70" customFormat="1"/>
    <row r="2749" s="70" customFormat="1"/>
    <row r="2750" s="70" customFormat="1"/>
    <row r="2751" s="70" customFormat="1"/>
    <row r="2752" s="70" customFormat="1"/>
    <row r="2753" s="70" customFormat="1"/>
    <row r="2754" s="70" customFormat="1"/>
    <row r="2755" s="70" customFormat="1"/>
    <row r="2756" s="70" customFormat="1"/>
    <row r="2757" s="70" customFormat="1"/>
    <row r="2758" s="70" customFormat="1"/>
    <row r="2759" s="70" customFormat="1"/>
    <row r="2760" s="70" customFormat="1"/>
    <row r="2761" s="70" customFormat="1"/>
    <row r="2762" s="70" customFormat="1"/>
    <row r="2763" s="70" customFormat="1"/>
    <row r="2764" s="70" customFormat="1"/>
    <row r="2765" s="70" customFormat="1"/>
    <row r="2766" s="70" customFormat="1"/>
    <row r="2767" s="70" customFormat="1"/>
    <row r="2768" s="70" customFormat="1"/>
    <row r="2769" s="70" customFormat="1"/>
    <row r="2770" s="70" customFormat="1"/>
    <row r="2771" s="70" customFormat="1"/>
    <row r="2772" s="70" customFormat="1"/>
    <row r="2773" s="70" customFormat="1"/>
    <row r="2774" s="70" customFormat="1"/>
    <row r="2775" s="70" customFormat="1"/>
    <row r="2776" s="70" customFormat="1"/>
    <row r="2777" s="70" customFormat="1"/>
    <row r="2778" s="70" customFormat="1"/>
    <row r="2779" s="70" customFormat="1"/>
    <row r="2780" s="70" customFormat="1"/>
    <row r="2781" s="70" customFormat="1"/>
    <row r="2782" s="70" customFormat="1"/>
    <row r="2783" s="70" customFormat="1"/>
    <row r="2784" s="70" customFormat="1"/>
    <row r="2785" s="70" customFormat="1"/>
    <row r="2786" s="70" customFormat="1"/>
    <row r="2787" s="70" customFormat="1"/>
    <row r="2788" s="70" customFormat="1"/>
    <row r="2789" s="70" customFormat="1"/>
    <row r="2790" s="70" customFormat="1"/>
    <row r="2791" s="70" customFormat="1"/>
    <row r="2792" s="70" customFormat="1"/>
    <row r="2793" s="70" customFormat="1"/>
    <row r="2794" s="70" customFormat="1"/>
    <row r="2795" s="70" customFormat="1"/>
    <row r="2796" s="70" customFormat="1"/>
    <row r="2797" s="70" customFormat="1"/>
    <row r="2798" s="70" customFormat="1"/>
    <row r="2799" s="70" customFormat="1"/>
    <row r="2800" s="70" customFormat="1"/>
    <row r="2801" s="70" customFormat="1"/>
    <row r="2802" s="70" customFormat="1"/>
    <row r="2803" s="70" customFormat="1"/>
    <row r="2804" s="70" customFormat="1"/>
    <row r="2805" s="70" customFormat="1"/>
    <row r="2806" s="70" customFormat="1"/>
    <row r="2807" s="70" customFormat="1"/>
    <row r="2808" s="70" customFormat="1"/>
    <row r="2809" s="70" customFormat="1"/>
    <row r="2810" s="70" customFormat="1"/>
    <row r="2811" s="70" customFormat="1"/>
    <row r="2812" s="70" customFormat="1"/>
    <row r="2813" s="70" customFormat="1"/>
    <row r="2814" s="70" customFormat="1"/>
    <row r="2815" s="70" customFormat="1"/>
    <row r="2816" s="70" customFormat="1"/>
    <row r="2817" s="70" customFormat="1"/>
    <row r="2818" s="70" customFormat="1"/>
    <row r="2819" s="70" customFormat="1"/>
    <row r="2820" s="70" customFormat="1"/>
    <row r="2821" s="70" customFormat="1"/>
    <row r="2822" s="70" customFormat="1"/>
    <row r="2823" s="70" customFormat="1"/>
    <row r="2824" s="70" customFormat="1"/>
  </sheetData>
  <mergeCells count="6">
    <mergeCell ref="A1:O1"/>
    <mergeCell ref="A2:O2"/>
    <mergeCell ref="A4:O4"/>
    <mergeCell ref="L11:O11"/>
    <mergeCell ref="Q11:T11"/>
    <mergeCell ref="A3:O3"/>
  </mergeCells>
  <pageMargins left="0.70866141732283472" right="0.70866141732283472" top="0.74803149606299213" bottom="0.74803149606299213" header="0.31496062992125984" footer="0.31496062992125984"/>
  <pageSetup scale="44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3"/>
  <sheetViews>
    <sheetView view="pageLayout" topLeftCell="AS1" zoomScaleNormal="100" zoomScaleSheetLayoutView="75" workbookViewId="0">
      <selection activeCell="AX2" sqref="AX2:AY2"/>
    </sheetView>
  </sheetViews>
  <sheetFormatPr defaultRowHeight="14.4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30" customWidth="1"/>
    <col min="12" max="12" width="10.5546875" style="30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customWidth="1"/>
    <col min="29" max="30" width="5.33203125" customWidth="1"/>
    <col min="31" max="31" width="30.6640625" customWidth="1"/>
    <col min="32" max="39" width="11.6640625" customWidth="1"/>
    <col min="40" max="41" width="10.6640625" customWidth="1"/>
    <col min="42" max="42" width="11.6640625" customWidth="1"/>
    <col min="43" max="44" width="5.33203125" customWidth="1"/>
    <col min="45" max="45" width="30.6640625" customWidth="1"/>
    <col min="46" max="53" width="11.6640625" customWidth="1"/>
    <col min="54" max="54" width="5.33203125" customWidth="1"/>
  </cols>
  <sheetData>
    <row r="1" spans="1:54" ht="18">
      <c r="N1" s="31" t="s">
        <v>120</v>
      </c>
      <c r="AB1" s="31"/>
      <c r="AC1" s="31" t="str">
        <f>N1</f>
        <v>Appendix C</v>
      </c>
      <c r="AQ1" s="31" t="str">
        <f>AC1</f>
        <v>Appendix C</v>
      </c>
      <c r="BB1" s="31" t="str">
        <f>AQ1</f>
        <v>Appendix C</v>
      </c>
    </row>
    <row r="2" spans="1:54" ht="18">
      <c r="A2" s="33"/>
      <c r="B2" s="34" t="s">
        <v>121</v>
      </c>
      <c r="C2" s="35"/>
      <c r="D2" s="33"/>
      <c r="E2" s="33"/>
      <c r="F2" s="33"/>
      <c r="G2" s="33"/>
      <c r="H2" s="33"/>
      <c r="I2" s="33"/>
      <c r="J2" s="33"/>
      <c r="N2" s="31" t="s">
        <v>122</v>
      </c>
      <c r="O2" s="33"/>
      <c r="P2" s="34" t="s">
        <v>121</v>
      </c>
      <c r="Q2" s="35"/>
      <c r="R2" s="35"/>
      <c r="S2" s="33"/>
      <c r="T2" s="33"/>
      <c r="U2" s="33"/>
      <c r="V2" s="33"/>
      <c r="W2" s="33"/>
      <c r="X2" s="33"/>
      <c r="Y2" s="33"/>
      <c r="Z2" s="33"/>
      <c r="AA2" s="33"/>
      <c r="AB2" s="31"/>
      <c r="AC2" s="31" t="s">
        <v>123</v>
      </c>
      <c r="AD2" s="33"/>
      <c r="AE2" s="34" t="s">
        <v>121</v>
      </c>
      <c r="AF2" s="35"/>
      <c r="AG2" s="33"/>
      <c r="AH2" s="35"/>
      <c r="AI2" s="33"/>
      <c r="AJ2" s="33"/>
      <c r="AK2" s="33"/>
      <c r="AL2" s="33"/>
      <c r="AM2" s="33"/>
      <c r="AN2" s="33"/>
      <c r="AO2" s="33"/>
      <c r="AQ2" s="31" t="s">
        <v>124</v>
      </c>
      <c r="AR2" s="33"/>
      <c r="AS2" s="34" t="str">
        <f>AE2</f>
        <v>ABC Insurance Company of Canada</v>
      </c>
      <c r="AT2" s="35"/>
      <c r="AU2" s="33"/>
      <c r="AV2" s="35"/>
      <c r="AW2" s="33"/>
      <c r="AX2" s="33"/>
      <c r="AY2" s="33"/>
      <c r="AZ2" s="33"/>
      <c r="BB2" s="31" t="s">
        <v>204</v>
      </c>
    </row>
    <row r="3" spans="1:54" ht="18" customHeight="1">
      <c r="A3" s="33"/>
      <c r="B3" s="34" t="str">
        <f>P3</f>
        <v>Premium Liabilities Analysis</v>
      </c>
      <c r="C3" s="34"/>
      <c r="D3" s="33"/>
      <c r="E3" s="33"/>
      <c r="F3" s="33"/>
      <c r="G3" s="33"/>
      <c r="H3" s="33"/>
      <c r="I3" s="32"/>
      <c r="J3" s="32"/>
      <c r="K3" s="36"/>
      <c r="L3" s="36"/>
      <c r="N3" s="33"/>
      <c r="O3" s="33"/>
      <c r="P3" s="34" t="s">
        <v>125</v>
      </c>
      <c r="Q3" s="34"/>
      <c r="R3" s="34"/>
      <c r="S3" s="33"/>
      <c r="T3" s="33"/>
      <c r="U3" s="33"/>
      <c r="V3" s="33"/>
      <c r="W3" s="33"/>
      <c r="X3" s="33"/>
      <c r="Y3" s="33"/>
      <c r="Z3" s="32"/>
      <c r="AA3" s="32"/>
      <c r="AB3" s="32"/>
      <c r="AC3" s="33"/>
      <c r="AD3" s="33"/>
      <c r="AE3" s="34" t="str">
        <f>P3</f>
        <v>Premium Liabilities Analysis</v>
      </c>
      <c r="AF3" s="34"/>
      <c r="AG3" s="33"/>
      <c r="AH3" s="34"/>
      <c r="AI3" s="33"/>
      <c r="AJ3" s="33"/>
      <c r="AK3" s="33"/>
      <c r="AL3" s="33"/>
      <c r="AM3" s="33"/>
      <c r="AN3" s="33"/>
      <c r="AO3" s="33"/>
      <c r="AP3" s="33"/>
      <c r="AQ3" s="32"/>
      <c r="AR3" s="33"/>
      <c r="AS3" s="34" t="str">
        <f t="shared" ref="AS3:AS5" si="0">AE3</f>
        <v>Premium Liabilities Analysis</v>
      </c>
      <c r="AT3" s="34"/>
      <c r="AU3" s="33"/>
      <c r="AV3" s="34"/>
      <c r="AW3" s="33"/>
      <c r="AX3" s="33"/>
      <c r="AY3" s="33"/>
      <c r="AZ3" s="33"/>
      <c r="BA3" s="33"/>
      <c r="BB3" s="32"/>
    </row>
    <row r="4" spans="1:54" ht="18" customHeight="1">
      <c r="A4" s="33"/>
      <c r="B4" s="34" t="str">
        <f>P4</f>
        <v>Net Basis</v>
      </c>
      <c r="C4" s="34"/>
      <c r="D4" s="33"/>
      <c r="E4" s="33"/>
      <c r="F4" s="33"/>
      <c r="G4" s="33"/>
      <c r="H4" s="33"/>
      <c r="I4" s="32"/>
      <c r="J4" s="32"/>
      <c r="K4" s="36"/>
      <c r="L4" s="36"/>
      <c r="N4" s="33"/>
      <c r="O4" s="33"/>
      <c r="P4" s="34" t="s">
        <v>126</v>
      </c>
      <c r="Q4" s="34"/>
      <c r="R4" s="34"/>
      <c r="S4" s="33"/>
      <c r="T4" s="33"/>
      <c r="U4" s="33"/>
      <c r="V4" s="33"/>
      <c r="W4" s="33"/>
      <c r="X4" s="33"/>
      <c r="Y4" s="33"/>
      <c r="Z4" s="32"/>
      <c r="AA4" s="32"/>
      <c r="AB4" s="32"/>
      <c r="AC4" s="33"/>
      <c r="AD4" s="33"/>
      <c r="AE4" s="34" t="str">
        <f>P4</f>
        <v>Net Basis</v>
      </c>
      <c r="AF4" s="34"/>
      <c r="AG4" s="33"/>
      <c r="AH4" s="34"/>
      <c r="AI4" s="33"/>
      <c r="AJ4" s="33"/>
      <c r="AK4" s="33"/>
      <c r="AL4" s="33"/>
      <c r="AM4" s="33"/>
      <c r="AN4" s="33"/>
      <c r="AO4" s="33"/>
      <c r="AP4" s="33"/>
      <c r="AQ4" s="32"/>
      <c r="AR4" s="33"/>
      <c r="AS4" s="34" t="str">
        <f t="shared" si="0"/>
        <v>Net Basis</v>
      </c>
      <c r="AT4" s="34"/>
      <c r="AU4" s="33"/>
      <c r="AV4" s="34"/>
      <c r="AW4" s="33"/>
      <c r="AX4" s="33"/>
      <c r="AY4" s="33"/>
      <c r="AZ4" s="33"/>
      <c r="BA4" s="33"/>
      <c r="BB4" s="32"/>
    </row>
    <row r="5" spans="1:54" ht="17.399999999999999">
      <c r="A5" s="33"/>
      <c r="B5" s="34" t="s">
        <v>127</v>
      </c>
      <c r="C5" s="37"/>
      <c r="D5" s="33"/>
      <c r="E5" s="33"/>
      <c r="F5" s="33"/>
      <c r="G5" s="33"/>
      <c r="H5" s="33"/>
      <c r="I5" s="38"/>
      <c r="J5" s="38"/>
      <c r="K5" s="39"/>
      <c r="L5" s="39"/>
      <c r="N5" s="33"/>
      <c r="O5" s="33"/>
      <c r="P5" s="34" t="s">
        <v>127</v>
      </c>
      <c r="Q5" s="37"/>
      <c r="R5" s="37"/>
      <c r="S5" s="33"/>
      <c r="T5" s="33"/>
      <c r="U5" s="33"/>
      <c r="V5" s="33"/>
      <c r="W5" s="33"/>
      <c r="X5" s="33"/>
      <c r="Y5" s="33"/>
      <c r="Z5" s="38"/>
      <c r="AA5" s="38"/>
      <c r="AB5" s="38"/>
      <c r="AC5" s="33"/>
      <c r="AD5" s="33"/>
      <c r="AE5" s="34" t="s">
        <v>127</v>
      </c>
      <c r="AF5" s="37"/>
      <c r="AG5" s="33"/>
      <c r="AH5" s="37"/>
      <c r="AI5" s="33"/>
      <c r="AJ5" s="33"/>
      <c r="AK5" s="33"/>
      <c r="AL5" s="33"/>
      <c r="AM5" s="33"/>
      <c r="AN5" s="33"/>
      <c r="AO5" s="33"/>
      <c r="AP5" s="33"/>
      <c r="AR5" s="33"/>
      <c r="AS5" s="34" t="str">
        <f t="shared" si="0"/>
        <v>As of December 31, XXXX</v>
      </c>
      <c r="AT5" s="37"/>
      <c r="AU5" s="33"/>
      <c r="AV5" s="37"/>
      <c r="AW5" s="33"/>
      <c r="AX5" s="33"/>
      <c r="AY5" s="33"/>
      <c r="AZ5" s="33"/>
      <c r="BA5" s="33"/>
    </row>
    <row r="6" spans="1:54" ht="17.399999999999999">
      <c r="A6" s="33"/>
      <c r="B6" s="34" t="s">
        <v>128</v>
      </c>
      <c r="C6" s="37"/>
      <c r="D6" s="33"/>
      <c r="E6" s="33"/>
      <c r="F6" s="33"/>
      <c r="G6" s="33"/>
      <c r="H6" s="33"/>
      <c r="I6" s="38"/>
      <c r="J6" s="38"/>
      <c r="K6" s="39"/>
      <c r="L6" s="39"/>
      <c r="N6" s="33"/>
      <c r="O6" s="33"/>
      <c r="P6" s="34" t="s">
        <v>128</v>
      </c>
      <c r="Q6" s="37"/>
      <c r="R6" s="37"/>
      <c r="S6" s="33"/>
      <c r="T6" s="33"/>
      <c r="U6" s="33"/>
      <c r="V6" s="33"/>
      <c r="W6" s="33"/>
      <c r="X6" s="33"/>
      <c r="Y6" s="33"/>
      <c r="Z6" s="38"/>
      <c r="AA6" s="38"/>
      <c r="AB6" s="38"/>
      <c r="AC6" s="33"/>
      <c r="AD6" s="33"/>
      <c r="AE6" s="34" t="s">
        <v>128</v>
      </c>
      <c r="AF6" s="37"/>
      <c r="AG6" s="33"/>
      <c r="AH6" s="37"/>
      <c r="AI6" s="33"/>
      <c r="AJ6" s="33"/>
      <c r="AK6" s="33"/>
      <c r="AL6" s="33"/>
      <c r="AM6" s="33"/>
      <c r="AN6" s="33"/>
      <c r="AO6" s="33"/>
      <c r="AP6" s="33"/>
      <c r="AR6" s="33"/>
      <c r="AS6" s="34" t="s">
        <v>128</v>
      </c>
      <c r="AT6" s="37"/>
      <c r="AU6" s="33"/>
      <c r="AV6" s="37"/>
      <c r="AW6" s="33"/>
      <c r="AX6" s="33"/>
      <c r="AY6" s="33"/>
      <c r="AZ6" s="33"/>
      <c r="BA6" s="33"/>
    </row>
    <row r="7" spans="1:54">
      <c r="AW7" s="33"/>
      <c r="AX7" s="33"/>
      <c r="AY7" s="33"/>
      <c r="AZ7" s="33"/>
      <c r="BA7" s="33"/>
    </row>
    <row r="8" spans="1:54">
      <c r="B8" s="40"/>
      <c r="C8" s="40">
        <v>-1</v>
      </c>
      <c r="D8" s="40">
        <f t="shared" ref="D8:M8" si="1">C8-1</f>
        <v>-2</v>
      </c>
      <c r="E8" s="40">
        <f t="shared" si="1"/>
        <v>-3</v>
      </c>
      <c r="F8" s="40">
        <f t="shared" si="1"/>
        <v>-4</v>
      </c>
      <c r="G8" s="40">
        <f t="shared" si="1"/>
        <v>-5</v>
      </c>
      <c r="H8" s="40">
        <f t="shared" si="1"/>
        <v>-6</v>
      </c>
      <c r="I8" s="40">
        <f t="shared" si="1"/>
        <v>-7</v>
      </c>
      <c r="J8" s="40">
        <f t="shared" si="1"/>
        <v>-8</v>
      </c>
      <c r="K8" s="40">
        <f t="shared" si="1"/>
        <v>-9</v>
      </c>
      <c r="L8" s="40">
        <f t="shared" si="1"/>
        <v>-10</v>
      </c>
      <c r="M8" s="40">
        <f t="shared" si="1"/>
        <v>-11</v>
      </c>
      <c r="P8" s="40"/>
      <c r="Q8" s="40">
        <f>M8-1</f>
        <v>-12</v>
      </c>
      <c r="R8" s="40">
        <f t="shared" ref="R8:AB8" si="2">Q8-1</f>
        <v>-13</v>
      </c>
      <c r="S8" s="40">
        <f t="shared" si="2"/>
        <v>-14</v>
      </c>
      <c r="T8" s="40">
        <f t="shared" si="2"/>
        <v>-15</v>
      </c>
      <c r="U8" s="40">
        <f t="shared" si="2"/>
        <v>-16</v>
      </c>
      <c r="V8" s="40">
        <f t="shared" si="2"/>
        <v>-17</v>
      </c>
      <c r="W8" s="40">
        <f t="shared" si="2"/>
        <v>-18</v>
      </c>
      <c r="X8" s="40">
        <f t="shared" si="2"/>
        <v>-19</v>
      </c>
      <c r="Y8" s="40">
        <f t="shared" si="2"/>
        <v>-20</v>
      </c>
      <c r="Z8" s="40">
        <f t="shared" si="2"/>
        <v>-21</v>
      </c>
      <c r="AA8" s="40">
        <f t="shared" si="2"/>
        <v>-22</v>
      </c>
      <c r="AB8" s="40">
        <f t="shared" si="2"/>
        <v>-23</v>
      </c>
      <c r="AE8" s="40"/>
      <c r="AF8" s="40">
        <f>AB8-1</f>
        <v>-24</v>
      </c>
      <c r="AG8" s="40">
        <f>AF8-1</f>
        <v>-25</v>
      </c>
      <c r="AH8" s="40">
        <f t="shared" ref="AH8:AP8" si="3">AG8-1</f>
        <v>-26</v>
      </c>
      <c r="AI8" s="40">
        <f t="shared" si="3"/>
        <v>-27</v>
      </c>
      <c r="AJ8" s="40">
        <f t="shared" si="3"/>
        <v>-28</v>
      </c>
      <c r="AK8" s="40">
        <f t="shared" si="3"/>
        <v>-29</v>
      </c>
      <c r="AL8" s="40">
        <f t="shared" si="3"/>
        <v>-30</v>
      </c>
      <c r="AM8" s="40">
        <f t="shared" si="3"/>
        <v>-31</v>
      </c>
      <c r="AN8" s="40">
        <f t="shared" si="3"/>
        <v>-32</v>
      </c>
      <c r="AO8" s="40">
        <f t="shared" si="3"/>
        <v>-33</v>
      </c>
      <c r="AP8" s="40">
        <f t="shared" si="3"/>
        <v>-34</v>
      </c>
      <c r="AS8" s="40"/>
      <c r="AT8" s="40">
        <f>AP8-1</f>
        <v>-35</v>
      </c>
      <c r="AU8" s="40">
        <f>AT8-1</f>
        <v>-36</v>
      </c>
      <c r="AV8" s="40">
        <f t="shared" ref="AV8" si="4">AU8-1</f>
        <v>-37</v>
      </c>
      <c r="AW8" s="33"/>
      <c r="AX8" s="33"/>
      <c r="AY8" s="33"/>
      <c r="AZ8" s="33"/>
      <c r="BA8" s="33"/>
    </row>
    <row r="9" spans="1:54" ht="57.6">
      <c r="B9" s="41" t="s">
        <v>129</v>
      </c>
      <c r="C9" s="42" t="s">
        <v>130</v>
      </c>
      <c r="D9" s="42" t="s">
        <v>131</v>
      </c>
      <c r="E9" s="42" t="s">
        <v>132</v>
      </c>
      <c r="F9" s="42" t="s">
        <v>133</v>
      </c>
      <c r="G9" s="42" t="s">
        <v>134</v>
      </c>
      <c r="H9" s="42" t="s">
        <v>135</v>
      </c>
      <c r="I9" s="42" t="s">
        <v>136</v>
      </c>
      <c r="J9" s="43" t="s">
        <v>137</v>
      </c>
      <c r="K9" s="43" t="s">
        <v>138</v>
      </c>
      <c r="L9" s="43" t="s">
        <v>139</v>
      </c>
      <c r="M9" s="42" t="s">
        <v>140</v>
      </c>
      <c r="P9" s="44" t="s">
        <v>129</v>
      </c>
      <c r="Q9" s="45" t="s">
        <v>141</v>
      </c>
      <c r="R9" s="45" t="s">
        <v>142</v>
      </c>
      <c r="S9" s="45" t="s">
        <v>143</v>
      </c>
      <c r="T9" s="45" t="s">
        <v>144</v>
      </c>
      <c r="U9" s="45" t="s">
        <v>145</v>
      </c>
      <c r="V9" s="45" t="s">
        <v>146</v>
      </c>
      <c r="W9" s="45" t="s">
        <v>147</v>
      </c>
      <c r="X9" s="45" t="s">
        <v>148</v>
      </c>
      <c r="Y9" s="45" t="s">
        <v>149</v>
      </c>
      <c r="Z9" s="45" t="s">
        <v>150</v>
      </c>
      <c r="AA9" s="45" t="s">
        <v>151</v>
      </c>
      <c r="AB9" s="45" t="s">
        <v>152</v>
      </c>
      <c r="AE9" s="44" t="s">
        <v>129</v>
      </c>
      <c r="AF9" s="45" t="s">
        <v>153</v>
      </c>
      <c r="AG9" s="45" t="s">
        <v>154</v>
      </c>
      <c r="AH9" s="45" t="s">
        <v>155</v>
      </c>
      <c r="AI9" s="45" t="s">
        <v>156</v>
      </c>
      <c r="AJ9" s="45" t="s">
        <v>157</v>
      </c>
      <c r="AK9" s="45" t="s">
        <v>158</v>
      </c>
      <c r="AL9" s="45" t="s">
        <v>159</v>
      </c>
      <c r="AM9" s="45" t="s">
        <v>160</v>
      </c>
      <c r="AN9" s="45" t="s">
        <v>161</v>
      </c>
      <c r="AO9" s="45" t="s">
        <v>162</v>
      </c>
      <c r="AP9" s="45" t="s">
        <v>163</v>
      </c>
      <c r="AS9" s="44" t="s">
        <v>129</v>
      </c>
      <c r="AT9" s="68" t="s">
        <v>322</v>
      </c>
      <c r="AU9" s="68" t="s">
        <v>321</v>
      </c>
      <c r="AV9" s="45" t="s">
        <v>215</v>
      </c>
      <c r="AW9" s="33"/>
      <c r="AX9" s="33"/>
      <c r="AY9" s="33"/>
      <c r="AZ9" s="33"/>
      <c r="BA9" s="33"/>
    </row>
    <row r="10" spans="1:54">
      <c r="B10" s="46" t="s">
        <v>164</v>
      </c>
      <c r="C10" s="47">
        <v>10000</v>
      </c>
      <c r="D10" s="47">
        <v>0</v>
      </c>
      <c r="E10" s="47">
        <f>C10+D10</f>
        <v>10000</v>
      </c>
      <c r="F10" s="47">
        <v>500</v>
      </c>
      <c r="G10" s="47">
        <f>IFERROR(E10-F10,E10)</f>
        <v>9500</v>
      </c>
      <c r="H10" s="48">
        <v>500</v>
      </c>
      <c r="I10" s="49">
        <v>0.86</v>
      </c>
      <c r="J10" s="50">
        <f>IF(H10="--",G10*I10,I10*(G10-H10))</f>
        <v>7740</v>
      </c>
      <c r="K10" s="51" t="s">
        <v>165</v>
      </c>
      <c r="L10" s="52">
        <v>382.5</v>
      </c>
      <c r="M10" s="50">
        <f>L10+J10</f>
        <v>8122.5</v>
      </c>
      <c r="P10" s="46" t="str">
        <f t="shared" ref="P10:P31" si="5">B10</f>
        <v>Personal Property</v>
      </c>
      <c r="Q10" s="53">
        <v>0.98299999999999998</v>
      </c>
      <c r="R10" s="47">
        <f t="shared" ref="R10:R30" si="6">IFERROR(Q10*M10,0)</f>
        <v>7984.4174999999996</v>
      </c>
      <c r="S10" s="53">
        <v>0.98676128425749543</v>
      </c>
      <c r="T10" s="47">
        <f t="shared" ref="T10:T30" si="7">IF(S10="--", 0,M10*S10)</f>
        <v>8014.9685313815062</v>
      </c>
      <c r="U10" s="47">
        <f t="shared" ref="U10:U30" si="8">T10-R10</f>
        <v>30.551031381506618</v>
      </c>
      <c r="V10" s="49">
        <v>7.0000000000000007E-2</v>
      </c>
      <c r="W10" s="47">
        <f t="shared" ref="W10:W30" si="9">V10*R10</f>
        <v>558.90922499999999</v>
      </c>
      <c r="X10" s="54">
        <v>749.39586322313335</v>
      </c>
      <c r="Y10" s="55">
        <v>0.01</v>
      </c>
      <c r="Z10" s="54">
        <f>Y10*X10</f>
        <v>7.4939586322313332</v>
      </c>
      <c r="AA10" s="47">
        <f>IF(Z10="--",U10+W10,U10+W10+Z10)</f>
        <v>596.95421501373789</v>
      </c>
      <c r="AB10" s="47">
        <f t="shared" ref="AB10:AB30" si="10">R10+AA10</f>
        <v>8581.3717150137381</v>
      </c>
      <c r="AE10" s="46" t="str">
        <f t="shared" ref="AE10:AE31" si="11">P10</f>
        <v>Personal Property</v>
      </c>
      <c r="AF10" s="56">
        <v>0.03</v>
      </c>
      <c r="AG10" s="47">
        <f t="shared" ref="AG10:AG30" si="12">E10*AF10</f>
        <v>300</v>
      </c>
      <c r="AH10" s="7">
        <v>0</v>
      </c>
      <c r="AI10" s="47">
        <f t="shared" ref="AI10:AI30" si="13">E10*AH10</f>
        <v>0</v>
      </c>
      <c r="AJ10" s="47">
        <f t="shared" ref="AJ10:AJ30" si="14">IF(H10="--",AB10+AG10+AI10,AB10+AG10+AI10+H10)</f>
        <v>9381.3717150137381</v>
      </c>
      <c r="AK10" s="47">
        <v>129.07278269172261</v>
      </c>
      <c r="AL10" s="47"/>
      <c r="AM10" s="47"/>
      <c r="AN10" s="47"/>
      <c r="AO10" s="47"/>
      <c r="AP10" s="47"/>
      <c r="AS10" s="46" t="str">
        <f>AE10</f>
        <v>Personal Property</v>
      </c>
      <c r="AT10" s="56"/>
      <c r="AU10" s="47"/>
      <c r="AV10" s="7"/>
      <c r="AW10" s="33"/>
      <c r="AX10" s="33"/>
      <c r="AY10" s="33"/>
      <c r="AZ10" s="33"/>
      <c r="BA10" s="33"/>
    </row>
    <row r="11" spans="1:54">
      <c r="B11" s="46" t="s">
        <v>166</v>
      </c>
      <c r="C11" s="47">
        <v>0</v>
      </c>
      <c r="D11" s="47">
        <v>0</v>
      </c>
      <c r="E11" s="47">
        <f t="shared" ref="E11:E30" si="15">C11+D11</f>
        <v>0</v>
      </c>
      <c r="F11" s="47">
        <v>0</v>
      </c>
      <c r="G11" s="47">
        <f t="shared" ref="G11:G30" si="16">IFERROR(E11-F11,E11)</f>
        <v>0</v>
      </c>
      <c r="H11" s="48">
        <f t="shared" ref="H11:H30" si="17">F11</f>
        <v>0</v>
      </c>
      <c r="I11" s="49">
        <v>0</v>
      </c>
      <c r="J11" s="50">
        <f t="shared" ref="J11:J30" si="18">IF(H11="--",G11*I11,I11*(G11-H11))</f>
        <v>0</v>
      </c>
      <c r="K11" s="51" t="s">
        <v>165</v>
      </c>
      <c r="L11" s="52">
        <v>0</v>
      </c>
      <c r="M11" s="50">
        <f t="shared" ref="M11:M30" si="19">L11+J11</f>
        <v>0</v>
      </c>
      <c r="P11" s="46" t="str">
        <f t="shared" si="5"/>
        <v>Commercial Property</v>
      </c>
      <c r="Q11" s="53" t="s">
        <v>165</v>
      </c>
      <c r="R11" s="47">
        <f t="shared" si="6"/>
        <v>0</v>
      </c>
      <c r="S11" s="53" t="s">
        <v>165</v>
      </c>
      <c r="T11" s="47">
        <f t="shared" si="7"/>
        <v>0</v>
      </c>
      <c r="U11" s="47">
        <f t="shared" si="8"/>
        <v>0</v>
      </c>
      <c r="V11" s="49">
        <v>0</v>
      </c>
      <c r="W11" s="47">
        <f t="shared" si="9"/>
        <v>0</v>
      </c>
      <c r="X11" s="54">
        <v>0</v>
      </c>
      <c r="Y11" s="55">
        <v>0.01</v>
      </c>
      <c r="Z11" s="54">
        <f t="shared" ref="Z11:Z30" si="20">Y11*X11</f>
        <v>0</v>
      </c>
      <c r="AA11" s="47">
        <f t="shared" ref="AA11:AA30" si="21">IF(Z11="--",U11+W11,U11+W11+Z11)</f>
        <v>0</v>
      </c>
      <c r="AB11" s="47">
        <f t="shared" si="10"/>
        <v>0</v>
      </c>
      <c r="AE11" s="46" t="str">
        <f t="shared" si="11"/>
        <v>Commercial Property</v>
      </c>
      <c r="AF11" s="56">
        <f>AF10</f>
        <v>0.03</v>
      </c>
      <c r="AG11" s="47">
        <f t="shared" si="12"/>
        <v>0</v>
      </c>
      <c r="AH11" s="7">
        <v>0</v>
      </c>
      <c r="AI11" s="47">
        <f t="shared" si="13"/>
        <v>0</v>
      </c>
      <c r="AJ11" s="47">
        <f t="shared" si="14"/>
        <v>0</v>
      </c>
      <c r="AK11" s="47">
        <v>0</v>
      </c>
      <c r="AL11" s="47"/>
      <c r="AM11" s="47"/>
      <c r="AN11" s="47"/>
      <c r="AO11" s="47"/>
      <c r="AP11" s="47"/>
      <c r="AS11" s="46" t="str">
        <f t="shared" ref="AS11:AS30" si="22">AE11</f>
        <v>Commercial Property</v>
      </c>
      <c r="AT11" s="56"/>
      <c r="AU11" s="47"/>
      <c r="AV11" s="7"/>
      <c r="AW11" s="33"/>
      <c r="AX11" s="33"/>
      <c r="AY11" s="33"/>
      <c r="AZ11" s="33"/>
      <c r="BA11" s="33"/>
    </row>
    <row r="12" spans="1:54">
      <c r="B12" s="46" t="s">
        <v>167</v>
      </c>
      <c r="C12" s="47">
        <v>0</v>
      </c>
      <c r="D12" s="47">
        <v>0</v>
      </c>
      <c r="E12" s="47">
        <f t="shared" si="15"/>
        <v>0</v>
      </c>
      <c r="F12" s="47">
        <v>0</v>
      </c>
      <c r="G12" s="47">
        <f t="shared" si="16"/>
        <v>0</v>
      </c>
      <c r="H12" s="48">
        <f t="shared" si="17"/>
        <v>0</v>
      </c>
      <c r="I12" s="49">
        <v>0</v>
      </c>
      <c r="J12" s="50">
        <f t="shared" si="18"/>
        <v>0</v>
      </c>
      <c r="K12" s="51" t="s">
        <v>165</v>
      </c>
      <c r="L12" s="52">
        <v>0</v>
      </c>
      <c r="M12" s="50">
        <f t="shared" si="19"/>
        <v>0</v>
      </c>
      <c r="P12" s="46" t="str">
        <f t="shared" si="5"/>
        <v>Aircraft</v>
      </c>
      <c r="Q12" s="53" t="s">
        <v>165</v>
      </c>
      <c r="R12" s="47">
        <f t="shared" si="6"/>
        <v>0</v>
      </c>
      <c r="S12" s="53" t="s">
        <v>165</v>
      </c>
      <c r="T12" s="47">
        <f t="shared" si="7"/>
        <v>0</v>
      </c>
      <c r="U12" s="47">
        <f t="shared" si="8"/>
        <v>0</v>
      </c>
      <c r="V12" s="49">
        <v>0</v>
      </c>
      <c r="W12" s="47">
        <f t="shared" si="9"/>
        <v>0</v>
      </c>
      <c r="X12" s="54">
        <v>0</v>
      </c>
      <c r="Y12" s="55">
        <v>0.01</v>
      </c>
      <c r="Z12" s="54">
        <f t="shared" si="20"/>
        <v>0</v>
      </c>
      <c r="AA12" s="47">
        <f t="shared" si="21"/>
        <v>0</v>
      </c>
      <c r="AB12" s="47">
        <f t="shared" si="10"/>
        <v>0</v>
      </c>
      <c r="AE12" s="46" t="str">
        <f t="shared" si="11"/>
        <v>Aircraft</v>
      </c>
      <c r="AF12" s="56">
        <f t="shared" ref="AF12:AF28" si="23">AF11</f>
        <v>0.03</v>
      </c>
      <c r="AG12" s="47">
        <f t="shared" si="12"/>
        <v>0</v>
      </c>
      <c r="AH12" s="7">
        <v>0</v>
      </c>
      <c r="AI12" s="47">
        <f t="shared" si="13"/>
        <v>0</v>
      </c>
      <c r="AJ12" s="47">
        <f t="shared" si="14"/>
        <v>0</v>
      </c>
      <c r="AK12" s="47">
        <v>0</v>
      </c>
      <c r="AL12" s="47"/>
      <c r="AM12" s="47"/>
      <c r="AN12" s="47"/>
      <c r="AO12" s="47"/>
      <c r="AP12" s="47"/>
      <c r="AS12" s="46" t="str">
        <f t="shared" si="22"/>
        <v>Aircraft</v>
      </c>
      <c r="AT12" s="56"/>
      <c r="AU12" s="47"/>
      <c r="AV12" s="7"/>
      <c r="AW12" s="33"/>
      <c r="AX12" s="33"/>
      <c r="AY12" s="33"/>
      <c r="AZ12" s="33"/>
      <c r="BA12" s="33"/>
    </row>
    <row r="13" spans="1:54">
      <c r="B13" s="46" t="s">
        <v>168</v>
      </c>
      <c r="C13" s="47">
        <v>50000</v>
      </c>
      <c r="D13" s="47">
        <v>0</v>
      </c>
      <c r="E13" s="47">
        <f t="shared" si="15"/>
        <v>50000</v>
      </c>
      <c r="F13" s="47">
        <v>1000</v>
      </c>
      <c r="G13" s="47">
        <f t="shared" si="16"/>
        <v>49000</v>
      </c>
      <c r="H13" s="48">
        <v>3000</v>
      </c>
      <c r="I13" s="49">
        <v>0.98</v>
      </c>
      <c r="J13" s="50">
        <f t="shared" si="18"/>
        <v>45080</v>
      </c>
      <c r="K13" s="51" t="s">
        <v>165</v>
      </c>
      <c r="L13" s="52">
        <v>2250</v>
      </c>
      <c r="M13" s="50">
        <f t="shared" si="19"/>
        <v>47330</v>
      </c>
      <c r="P13" s="46" t="str">
        <f t="shared" si="5"/>
        <v>Auto - Liability - Regular</v>
      </c>
      <c r="Q13" s="53">
        <v>0.92218559837728198</v>
      </c>
      <c r="R13" s="47">
        <f t="shared" si="6"/>
        <v>43647.044371196753</v>
      </c>
      <c r="S13" s="53">
        <v>0.94319745460939886</v>
      </c>
      <c r="T13" s="47">
        <f t="shared" si="7"/>
        <v>44641.535526662847</v>
      </c>
      <c r="U13" s="47">
        <f t="shared" si="8"/>
        <v>994.49115546609391</v>
      </c>
      <c r="V13" s="49">
        <v>0.11</v>
      </c>
      <c r="W13" s="47">
        <f t="shared" si="9"/>
        <v>4801.1748808316424</v>
      </c>
      <c r="X13" s="54">
        <v>4276.6980223123755</v>
      </c>
      <c r="Y13" s="55">
        <v>0.01</v>
      </c>
      <c r="Z13" s="54">
        <f t="shared" si="20"/>
        <v>42.76698022312376</v>
      </c>
      <c r="AA13" s="47">
        <f t="shared" si="21"/>
        <v>5838.4330165208603</v>
      </c>
      <c r="AB13" s="47">
        <f t="shared" si="10"/>
        <v>49485.477387717612</v>
      </c>
      <c r="AE13" s="46" t="str">
        <f t="shared" si="11"/>
        <v>Auto - Liability - Regular</v>
      </c>
      <c r="AF13" s="56">
        <f t="shared" si="23"/>
        <v>0.03</v>
      </c>
      <c r="AG13" s="47">
        <f t="shared" si="12"/>
        <v>1500</v>
      </c>
      <c r="AH13" s="7">
        <v>0</v>
      </c>
      <c r="AI13" s="47">
        <f t="shared" si="13"/>
        <v>0</v>
      </c>
      <c r="AJ13" s="47">
        <f t="shared" si="14"/>
        <v>53985.477387717612</v>
      </c>
      <c r="AK13" s="47">
        <v>258.14556538344522</v>
      </c>
      <c r="AL13" s="47"/>
      <c r="AM13" s="47"/>
      <c r="AN13" s="47"/>
      <c r="AO13" s="47"/>
      <c r="AP13" s="47"/>
      <c r="AS13" s="46" t="str">
        <f t="shared" si="22"/>
        <v>Auto - Liability - Regular</v>
      </c>
      <c r="AT13" s="56"/>
      <c r="AU13" s="47"/>
      <c r="AV13" s="7"/>
      <c r="AW13" s="33"/>
      <c r="AX13" s="33"/>
      <c r="AY13" s="33"/>
      <c r="AZ13" s="33"/>
      <c r="BA13" s="33"/>
    </row>
    <row r="14" spans="1:54">
      <c r="B14" s="46" t="s">
        <v>169</v>
      </c>
      <c r="C14" s="47">
        <v>25000</v>
      </c>
      <c r="D14" s="47">
        <v>0</v>
      </c>
      <c r="E14" s="47">
        <f t="shared" si="15"/>
        <v>25000</v>
      </c>
      <c r="F14" s="47">
        <v>3000</v>
      </c>
      <c r="G14" s="47">
        <f t="shared" si="16"/>
        <v>22000</v>
      </c>
      <c r="H14" s="48">
        <v>1500</v>
      </c>
      <c r="I14" s="49">
        <v>1.1499999999999999</v>
      </c>
      <c r="J14" s="50">
        <f t="shared" si="18"/>
        <v>23574.999999999996</v>
      </c>
      <c r="K14" s="51" t="s">
        <v>165</v>
      </c>
      <c r="L14" s="52">
        <v>1350</v>
      </c>
      <c r="M14" s="50">
        <f t="shared" si="19"/>
        <v>24924.999999999996</v>
      </c>
      <c r="P14" s="46" t="str">
        <f t="shared" si="5"/>
        <v>Auto - PA - Regular</v>
      </c>
      <c r="Q14" s="53">
        <v>0.9321551724137932</v>
      </c>
      <c r="R14" s="47">
        <f t="shared" si="6"/>
        <v>23233.967672413793</v>
      </c>
      <c r="S14" s="53">
        <v>0.95317606575556935</v>
      </c>
      <c r="T14" s="47">
        <f t="shared" si="7"/>
        <v>23757.913438957563</v>
      </c>
      <c r="U14" s="47">
        <f t="shared" si="8"/>
        <v>523.94576654376942</v>
      </c>
      <c r="V14" s="49">
        <v>0.1</v>
      </c>
      <c r="W14" s="47">
        <f t="shared" si="9"/>
        <v>2323.3967672413796</v>
      </c>
      <c r="X14" s="54">
        <v>5832.8239097363075</v>
      </c>
      <c r="Y14" s="55">
        <v>0.01</v>
      </c>
      <c r="Z14" s="54">
        <f t="shared" si="20"/>
        <v>58.328239097363074</v>
      </c>
      <c r="AA14" s="47">
        <f t="shared" si="21"/>
        <v>2905.6707728825122</v>
      </c>
      <c r="AB14" s="47">
        <f t="shared" si="10"/>
        <v>26139.638445296307</v>
      </c>
      <c r="AE14" s="46" t="str">
        <f t="shared" si="11"/>
        <v>Auto - PA - Regular</v>
      </c>
      <c r="AF14" s="56">
        <f t="shared" si="23"/>
        <v>0.03</v>
      </c>
      <c r="AG14" s="47">
        <f t="shared" si="12"/>
        <v>750</v>
      </c>
      <c r="AH14" s="7">
        <v>0</v>
      </c>
      <c r="AI14" s="47">
        <f t="shared" si="13"/>
        <v>0</v>
      </c>
      <c r="AJ14" s="47">
        <f t="shared" si="14"/>
        <v>28389.638445296307</v>
      </c>
      <c r="AK14" s="47">
        <v>774.43669615033571</v>
      </c>
      <c r="AL14" s="47"/>
      <c r="AM14" s="47"/>
      <c r="AN14" s="47"/>
      <c r="AO14" s="47"/>
      <c r="AP14" s="47"/>
      <c r="AS14" s="46" t="str">
        <f t="shared" si="22"/>
        <v>Auto - PA - Regular</v>
      </c>
      <c r="AT14" s="56"/>
      <c r="AU14" s="47"/>
      <c r="AV14" s="7"/>
      <c r="AW14" s="33"/>
      <c r="AX14" s="33"/>
      <c r="AY14" s="33"/>
      <c r="AZ14" s="33"/>
      <c r="BA14" s="33"/>
    </row>
    <row r="15" spans="1:54">
      <c r="B15" s="46" t="s">
        <v>170</v>
      </c>
      <c r="C15" s="47">
        <v>30000</v>
      </c>
      <c r="D15" s="47">
        <v>0</v>
      </c>
      <c r="E15" s="47">
        <f t="shared" si="15"/>
        <v>30000</v>
      </c>
      <c r="F15" s="47">
        <v>500</v>
      </c>
      <c r="G15" s="47">
        <f t="shared" si="16"/>
        <v>29500</v>
      </c>
      <c r="H15" s="48">
        <v>1000</v>
      </c>
      <c r="I15" s="49">
        <v>0.67</v>
      </c>
      <c r="J15" s="50">
        <f t="shared" si="18"/>
        <v>19095</v>
      </c>
      <c r="K15" s="51" t="s">
        <v>165</v>
      </c>
      <c r="L15" s="52">
        <v>918</v>
      </c>
      <c r="M15" s="50">
        <f t="shared" si="19"/>
        <v>20013</v>
      </c>
      <c r="P15" s="46" t="str">
        <f t="shared" si="5"/>
        <v>Auto - Other - Regular</v>
      </c>
      <c r="Q15" s="53">
        <v>0.9770182555780933</v>
      </c>
      <c r="R15" s="47">
        <f t="shared" si="6"/>
        <v>19553.066348884382</v>
      </c>
      <c r="S15" s="53">
        <v>0.9879979777553084</v>
      </c>
      <c r="T15" s="47">
        <f t="shared" si="7"/>
        <v>19772.803528816989</v>
      </c>
      <c r="U15" s="47">
        <f t="shared" si="8"/>
        <v>219.73717993260652</v>
      </c>
      <c r="V15" s="49">
        <v>7.0000000000000007E-2</v>
      </c>
      <c r="W15" s="47">
        <f t="shared" si="9"/>
        <v>1368.7146444219068</v>
      </c>
      <c r="X15" s="54">
        <v>1275.0088235294097</v>
      </c>
      <c r="Y15" s="55">
        <v>0.01</v>
      </c>
      <c r="Z15" s="54">
        <f t="shared" si="20"/>
        <v>12.750088235294097</v>
      </c>
      <c r="AA15" s="47">
        <f t="shared" si="21"/>
        <v>1601.2019125898073</v>
      </c>
      <c r="AB15" s="47">
        <f t="shared" si="10"/>
        <v>21154.26826147419</v>
      </c>
      <c r="AE15" s="46" t="str">
        <f t="shared" si="11"/>
        <v>Auto - Other - Regular</v>
      </c>
      <c r="AF15" s="56">
        <f t="shared" si="23"/>
        <v>0.03</v>
      </c>
      <c r="AG15" s="47">
        <f t="shared" si="12"/>
        <v>900</v>
      </c>
      <c r="AH15" s="7">
        <v>0</v>
      </c>
      <c r="AI15" s="47">
        <f t="shared" si="13"/>
        <v>0</v>
      </c>
      <c r="AJ15" s="47">
        <f t="shared" si="14"/>
        <v>23054.26826147419</v>
      </c>
      <c r="AK15" s="47">
        <v>129.07278269172261</v>
      </c>
      <c r="AL15" s="47"/>
      <c r="AM15" s="47"/>
      <c r="AN15" s="47"/>
      <c r="AO15" s="47"/>
      <c r="AP15" s="47"/>
      <c r="AS15" s="46" t="str">
        <f t="shared" si="22"/>
        <v>Auto - Other - Regular</v>
      </c>
      <c r="AT15" s="56"/>
      <c r="AU15" s="47"/>
      <c r="AV15" s="7"/>
      <c r="AW15" s="33"/>
      <c r="AX15" s="33"/>
      <c r="AY15" s="33"/>
      <c r="AZ15" s="33"/>
      <c r="BA15" s="33"/>
    </row>
    <row r="16" spans="1:54">
      <c r="B16" s="46" t="s">
        <v>171</v>
      </c>
      <c r="C16" s="47">
        <v>1500</v>
      </c>
      <c r="D16" s="47">
        <v>0</v>
      </c>
      <c r="E16" s="47">
        <f t="shared" si="15"/>
        <v>1500</v>
      </c>
      <c r="F16" s="47">
        <v>0</v>
      </c>
      <c r="G16" s="47">
        <f t="shared" si="16"/>
        <v>1500</v>
      </c>
      <c r="H16" s="48">
        <f t="shared" si="17"/>
        <v>0</v>
      </c>
      <c r="I16" s="49">
        <v>0.93333333333333335</v>
      </c>
      <c r="J16" s="50">
        <f t="shared" si="18"/>
        <v>1400</v>
      </c>
      <c r="K16" s="51" t="s">
        <v>165</v>
      </c>
      <c r="L16" s="52">
        <v>0</v>
      </c>
      <c r="M16" s="50">
        <f t="shared" si="19"/>
        <v>1400</v>
      </c>
      <c r="P16" s="46" t="str">
        <f t="shared" si="5"/>
        <v>Auto - Liability - Facility</v>
      </c>
      <c r="Q16" s="53">
        <v>0.9285714285714286</v>
      </c>
      <c r="R16" s="47">
        <f t="shared" si="6"/>
        <v>1300</v>
      </c>
      <c r="S16" s="53">
        <v>0.9285714285714286</v>
      </c>
      <c r="T16" s="47">
        <f t="shared" si="7"/>
        <v>1300</v>
      </c>
      <c r="U16" s="47">
        <f t="shared" si="8"/>
        <v>0</v>
      </c>
      <c r="V16" s="49">
        <v>0.15384615384615385</v>
      </c>
      <c r="W16" s="47">
        <f t="shared" si="9"/>
        <v>200</v>
      </c>
      <c r="X16" s="54">
        <v>0</v>
      </c>
      <c r="Y16" s="55">
        <v>0.01</v>
      </c>
      <c r="Z16" s="54">
        <f t="shared" si="20"/>
        <v>0</v>
      </c>
      <c r="AA16" s="47">
        <f t="shared" si="21"/>
        <v>200</v>
      </c>
      <c r="AB16" s="47">
        <f t="shared" si="10"/>
        <v>1500</v>
      </c>
      <c r="AE16" s="46" t="str">
        <f t="shared" si="11"/>
        <v>Auto - Liability - Facility</v>
      </c>
      <c r="AF16" s="56">
        <f t="shared" si="23"/>
        <v>0.03</v>
      </c>
      <c r="AG16" s="47">
        <f t="shared" si="12"/>
        <v>45</v>
      </c>
      <c r="AH16" s="7">
        <v>0</v>
      </c>
      <c r="AI16" s="47">
        <f t="shared" si="13"/>
        <v>0</v>
      </c>
      <c r="AJ16" s="47">
        <f t="shared" si="14"/>
        <v>1545</v>
      </c>
      <c r="AK16" s="47">
        <v>0</v>
      </c>
      <c r="AL16" s="47"/>
      <c r="AM16" s="47"/>
      <c r="AN16" s="47"/>
      <c r="AO16" s="47"/>
      <c r="AP16" s="47"/>
      <c r="AS16" s="46" t="str">
        <f t="shared" si="22"/>
        <v>Auto - Liability - Facility</v>
      </c>
      <c r="AT16" s="56"/>
      <c r="AU16" s="47"/>
      <c r="AV16" s="7"/>
      <c r="AW16" s="33"/>
      <c r="AX16" s="33"/>
      <c r="AY16" s="33"/>
      <c r="AZ16" s="33"/>
      <c r="BA16" s="33"/>
    </row>
    <row r="17" spans="2:54">
      <c r="B17" s="46" t="s">
        <v>172</v>
      </c>
      <c r="C17" s="47">
        <v>750</v>
      </c>
      <c r="D17" s="47">
        <v>0</v>
      </c>
      <c r="E17" s="47">
        <f t="shared" si="15"/>
        <v>750</v>
      </c>
      <c r="F17" s="47">
        <v>0</v>
      </c>
      <c r="G17" s="47">
        <f t="shared" si="16"/>
        <v>750</v>
      </c>
      <c r="H17" s="48">
        <f t="shared" si="17"/>
        <v>0</v>
      </c>
      <c r="I17" s="49">
        <v>0.93333333333333335</v>
      </c>
      <c r="J17" s="50">
        <f t="shared" si="18"/>
        <v>700</v>
      </c>
      <c r="K17" s="51" t="s">
        <v>165</v>
      </c>
      <c r="L17" s="52">
        <v>0</v>
      </c>
      <c r="M17" s="50">
        <f t="shared" si="19"/>
        <v>700</v>
      </c>
      <c r="P17" s="46" t="str">
        <f t="shared" si="5"/>
        <v>Auto - PA - Facility</v>
      </c>
      <c r="Q17" s="53">
        <v>0.9285714285714286</v>
      </c>
      <c r="R17" s="47">
        <f t="shared" si="6"/>
        <v>650</v>
      </c>
      <c r="S17" s="53">
        <v>0.9285714285714286</v>
      </c>
      <c r="T17" s="47">
        <f t="shared" si="7"/>
        <v>650</v>
      </c>
      <c r="U17" s="47">
        <f t="shared" si="8"/>
        <v>0</v>
      </c>
      <c r="V17" s="49">
        <v>0.15384615384615385</v>
      </c>
      <c r="W17" s="47">
        <f t="shared" si="9"/>
        <v>100</v>
      </c>
      <c r="X17" s="54">
        <v>0</v>
      </c>
      <c r="Y17" s="55">
        <v>0.01</v>
      </c>
      <c r="Z17" s="54">
        <f t="shared" si="20"/>
        <v>0</v>
      </c>
      <c r="AA17" s="47">
        <f t="shared" si="21"/>
        <v>100</v>
      </c>
      <c r="AB17" s="47">
        <f t="shared" si="10"/>
        <v>750</v>
      </c>
      <c r="AE17" s="46" t="str">
        <f t="shared" si="11"/>
        <v>Auto - PA - Facility</v>
      </c>
      <c r="AF17" s="56">
        <f t="shared" si="23"/>
        <v>0.03</v>
      </c>
      <c r="AG17" s="47">
        <f t="shared" si="12"/>
        <v>22.5</v>
      </c>
      <c r="AH17" s="7">
        <v>0</v>
      </c>
      <c r="AI17" s="47">
        <f t="shared" si="13"/>
        <v>0</v>
      </c>
      <c r="AJ17" s="47">
        <f t="shared" si="14"/>
        <v>772.5</v>
      </c>
      <c r="AK17" s="47">
        <v>0</v>
      </c>
      <c r="AL17" s="47"/>
      <c r="AM17" s="47"/>
      <c r="AN17" s="47"/>
      <c r="AO17" s="47"/>
      <c r="AP17" s="47"/>
      <c r="AS17" s="46" t="str">
        <f t="shared" si="22"/>
        <v>Auto - PA - Facility</v>
      </c>
      <c r="AT17" s="56"/>
      <c r="AU17" s="47"/>
      <c r="AV17" s="7"/>
      <c r="AW17" s="33"/>
      <c r="AX17" s="33"/>
      <c r="AY17" s="33"/>
      <c r="AZ17" s="33"/>
      <c r="BA17" s="33"/>
    </row>
    <row r="18" spans="2:54">
      <c r="B18" s="46" t="s">
        <v>173</v>
      </c>
      <c r="C18" s="47">
        <v>750</v>
      </c>
      <c r="D18" s="47">
        <v>0</v>
      </c>
      <c r="E18" s="47">
        <f t="shared" si="15"/>
        <v>750</v>
      </c>
      <c r="F18" s="47">
        <v>0</v>
      </c>
      <c r="G18" s="47">
        <f t="shared" si="16"/>
        <v>750</v>
      </c>
      <c r="H18" s="48">
        <f t="shared" si="17"/>
        <v>0</v>
      </c>
      <c r="I18" s="49">
        <v>0.93333333333333335</v>
      </c>
      <c r="J18" s="50">
        <f t="shared" si="18"/>
        <v>700</v>
      </c>
      <c r="K18" s="51" t="s">
        <v>165</v>
      </c>
      <c r="L18" s="52">
        <v>0</v>
      </c>
      <c r="M18" s="50">
        <f t="shared" si="19"/>
        <v>700</v>
      </c>
      <c r="P18" s="46" t="str">
        <f t="shared" si="5"/>
        <v>Auto - Other - Facility</v>
      </c>
      <c r="Q18" s="53">
        <v>0.9285714285714286</v>
      </c>
      <c r="R18" s="47">
        <f t="shared" si="6"/>
        <v>650</v>
      </c>
      <c r="S18" s="53">
        <v>0.9285714285714286</v>
      </c>
      <c r="T18" s="47">
        <f t="shared" si="7"/>
        <v>650</v>
      </c>
      <c r="U18" s="47">
        <f t="shared" si="8"/>
        <v>0</v>
      </c>
      <c r="V18" s="49">
        <v>0.15384615384615385</v>
      </c>
      <c r="W18" s="47">
        <f t="shared" si="9"/>
        <v>100</v>
      </c>
      <c r="X18" s="54">
        <v>0</v>
      </c>
      <c r="Y18" s="55">
        <v>0.01</v>
      </c>
      <c r="Z18" s="54">
        <f t="shared" si="20"/>
        <v>0</v>
      </c>
      <c r="AA18" s="47">
        <f t="shared" si="21"/>
        <v>100</v>
      </c>
      <c r="AB18" s="47">
        <f t="shared" si="10"/>
        <v>750</v>
      </c>
      <c r="AE18" s="46" t="str">
        <f t="shared" si="11"/>
        <v>Auto - Other - Facility</v>
      </c>
      <c r="AF18" s="56">
        <f t="shared" si="23"/>
        <v>0.03</v>
      </c>
      <c r="AG18" s="47">
        <f t="shared" si="12"/>
        <v>22.5</v>
      </c>
      <c r="AH18" s="7">
        <v>0</v>
      </c>
      <c r="AI18" s="47">
        <f t="shared" si="13"/>
        <v>0</v>
      </c>
      <c r="AJ18" s="47">
        <f t="shared" si="14"/>
        <v>772.5</v>
      </c>
      <c r="AK18" s="47">
        <v>0</v>
      </c>
      <c r="AL18" s="47"/>
      <c r="AM18" s="47"/>
      <c r="AN18" s="47"/>
      <c r="AO18" s="47"/>
      <c r="AP18" s="47"/>
      <c r="AS18" s="46" t="str">
        <f t="shared" si="22"/>
        <v>Auto - Other - Facility</v>
      </c>
      <c r="AT18" s="56"/>
      <c r="AU18" s="47"/>
      <c r="AV18" s="7"/>
      <c r="AW18" s="33"/>
      <c r="AX18" s="33"/>
      <c r="AY18" s="33"/>
      <c r="AZ18" s="33"/>
      <c r="BA18" s="33"/>
    </row>
    <row r="19" spans="2:54">
      <c r="B19" s="46" t="s">
        <v>174</v>
      </c>
      <c r="C19" s="47">
        <v>0</v>
      </c>
      <c r="D19" s="47">
        <v>0</v>
      </c>
      <c r="E19" s="47">
        <f t="shared" si="15"/>
        <v>0</v>
      </c>
      <c r="F19" s="47">
        <v>0</v>
      </c>
      <c r="G19" s="47">
        <f t="shared" si="16"/>
        <v>0</v>
      </c>
      <c r="H19" s="48">
        <f t="shared" si="17"/>
        <v>0</v>
      </c>
      <c r="I19" s="49">
        <v>0</v>
      </c>
      <c r="J19" s="50">
        <f t="shared" si="18"/>
        <v>0</v>
      </c>
      <c r="K19" s="51" t="s">
        <v>165</v>
      </c>
      <c r="L19" s="52">
        <v>0</v>
      </c>
      <c r="M19" s="50">
        <f t="shared" si="19"/>
        <v>0</v>
      </c>
      <c r="P19" s="46" t="str">
        <f t="shared" si="5"/>
        <v>Boiler &amp; Machinery</v>
      </c>
      <c r="Q19" s="53" t="s">
        <v>165</v>
      </c>
      <c r="R19" s="47">
        <f t="shared" si="6"/>
        <v>0</v>
      </c>
      <c r="S19" s="53" t="s">
        <v>165</v>
      </c>
      <c r="T19" s="47">
        <f t="shared" si="7"/>
        <v>0</v>
      </c>
      <c r="U19" s="47">
        <f t="shared" si="8"/>
        <v>0</v>
      </c>
      <c r="V19" s="49">
        <v>0</v>
      </c>
      <c r="W19" s="47">
        <f t="shared" si="9"/>
        <v>0</v>
      </c>
      <c r="X19" s="54">
        <v>0</v>
      </c>
      <c r="Y19" s="55">
        <v>0.01</v>
      </c>
      <c r="Z19" s="54">
        <f t="shared" si="20"/>
        <v>0</v>
      </c>
      <c r="AA19" s="47">
        <f t="shared" si="21"/>
        <v>0</v>
      </c>
      <c r="AB19" s="47">
        <f t="shared" si="10"/>
        <v>0</v>
      </c>
      <c r="AE19" s="46" t="str">
        <f t="shared" si="11"/>
        <v>Boiler &amp; Machinery</v>
      </c>
      <c r="AF19" s="56">
        <f t="shared" si="23"/>
        <v>0.03</v>
      </c>
      <c r="AG19" s="47">
        <f t="shared" si="12"/>
        <v>0</v>
      </c>
      <c r="AH19" s="7">
        <v>0</v>
      </c>
      <c r="AI19" s="47">
        <f t="shared" si="13"/>
        <v>0</v>
      </c>
      <c r="AJ19" s="47">
        <f t="shared" si="14"/>
        <v>0</v>
      </c>
      <c r="AK19" s="47">
        <v>0</v>
      </c>
      <c r="AL19" s="47"/>
      <c r="AM19" s="47"/>
      <c r="AN19" s="47"/>
      <c r="AO19" s="47"/>
      <c r="AP19" s="47"/>
      <c r="AS19" s="46" t="str">
        <f t="shared" si="22"/>
        <v>Boiler &amp; Machinery</v>
      </c>
      <c r="AT19" s="56"/>
      <c r="AU19" s="47"/>
      <c r="AV19" s="7"/>
      <c r="AW19" s="33"/>
      <c r="AX19" s="33"/>
      <c r="AY19" s="33"/>
      <c r="AZ19" s="33"/>
      <c r="BA19" s="33"/>
    </row>
    <row r="20" spans="2:54">
      <c r="B20" s="46" t="s">
        <v>175</v>
      </c>
      <c r="C20" s="47">
        <v>0</v>
      </c>
      <c r="D20" s="47">
        <v>0</v>
      </c>
      <c r="E20" s="47">
        <f t="shared" si="15"/>
        <v>0</v>
      </c>
      <c r="F20" s="47">
        <v>0</v>
      </c>
      <c r="G20" s="47">
        <f t="shared" si="16"/>
        <v>0</v>
      </c>
      <c r="H20" s="48">
        <f t="shared" si="17"/>
        <v>0</v>
      </c>
      <c r="I20" s="49">
        <v>0</v>
      </c>
      <c r="J20" s="50">
        <f t="shared" si="18"/>
        <v>0</v>
      </c>
      <c r="K20" s="51" t="s">
        <v>165</v>
      </c>
      <c r="L20" s="52">
        <v>0</v>
      </c>
      <c r="M20" s="50">
        <f t="shared" si="19"/>
        <v>0</v>
      </c>
      <c r="P20" s="46" t="str">
        <f t="shared" si="5"/>
        <v>Credit</v>
      </c>
      <c r="Q20" s="53" t="s">
        <v>165</v>
      </c>
      <c r="R20" s="47">
        <f t="shared" si="6"/>
        <v>0</v>
      </c>
      <c r="S20" s="53" t="s">
        <v>165</v>
      </c>
      <c r="T20" s="47">
        <f t="shared" si="7"/>
        <v>0</v>
      </c>
      <c r="U20" s="47">
        <f t="shared" si="8"/>
        <v>0</v>
      </c>
      <c r="V20" s="49">
        <v>0</v>
      </c>
      <c r="W20" s="47">
        <f t="shared" si="9"/>
        <v>0</v>
      </c>
      <c r="X20" s="54">
        <v>0</v>
      </c>
      <c r="Y20" s="55">
        <v>0.01</v>
      </c>
      <c r="Z20" s="54">
        <f t="shared" si="20"/>
        <v>0</v>
      </c>
      <c r="AA20" s="47">
        <f t="shared" si="21"/>
        <v>0</v>
      </c>
      <c r="AB20" s="47">
        <f t="shared" si="10"/>
        <v>0</v>
      </c>
      <c r="AE20" s="46" t="str">
        <f t="shared" si="11"/>
        <v>Credit</v>
      </c>
      <c r="AF20" s="56">
        <f t="shared" si="23"/>
        <v>0.03</v>
      </c>
      <c r="AG20" s="47">
        <f t="shared" si="12"/>
        <v>0</v>
      </c>
      <c r="AH20" s="7">
        <v>0</v>
      </c>
      <c r="AI20" s="47">
        <f t="shared" si="13"/>
        <v>0</v>
      </c>
      <c r="AJ20" s="47">
        <f t="shared" si="14"/>
        <v>0</v>
      </c>
      <c r="AK20" s="47">
        <v>0</v>
      </c>
      <c r="AL20" s="47"/>
      <c r="AM20" s="47"/>
      <c r="AN20" s="47"/>
      <c r="AO20" s="47"/>
      <c r="AP20" s="47"/>
      <c r="AS20" s="46" t="str">
        <f t="shared" si="22"/>
        <v>Credit</v>
      </c>
      <c r="AT20" s="56"/>
      <c r="AU20" s="47"/>
      <c r="AV20" s="7"/>
      <c r="AW20" s="33"/>
      <c r="AX20" s="33"/>
      <c r="AY20" s="33"/>
      <c r="AZ20" s="33"/>
      <c r="BA20" s="33"/>
    </row>
    <row r="21" spans="2:54">
      <c r="B21" s="46" t="s">
        <v>176</v>
      </c>
      <c r="C21" s="47">
        <v>0</v>
      </c>
      <c r="D21" s="47">
        <v>0</v>
      </c>
      <c r="E21" s="47">
        <f t="shared" si="15"/>
        <v>0</v>
      </c>
      <c r="F21" s="47">
        <v>0</v>
      </c>
      <c r="G21" s="47">
        <f t="shared" si="16"/>
        <v>0</v>
      </c>
      <c r="H21" s="48">
        <f t="shared" si="17"/>
        <v>0</v>
      </c>
      <c r="I21" s="49">
        <v>0</v>
      </c>
      <c r="J21" s="50">
        <f t="shared" si="18"/>
        <v>0</v>
      </c>
      <c r="K21" s="51" t="s">
        <v>165</v>
      </c>
      <c r="L21" s="52">
        <v>0</v>
      </c>
      <c r="M21" s="50">
        <f t="shared" si="19"/>
        <v>0</v>
      </c>
      <c r="P21" s="46" t="str">
        <f t="shared" si="5"/>
        <v>Credit Protection</v>
      </c>
      <c r="Q21" s="53" t="s">
        <v>165</v>
      </c>
      <c r="R21" s="47">
        <f t="shared" si="6"/>
        <v>0</v>
      </c>
      <c r="S21" s="53" t="s">
        <v>165</v>
      </c>
      <c r="T21" s="47">
        <f t="shared" si="7"/>
        <v>0</v>
      </c>
      <c r="U21" s="47">
        <f t="shared" si="8"/>
        <v>0</v>
      </c>
      <c r="V21" s="49">
        <v>0</v>
      </c>
      <c r="W21" s="47">
        <f t="shared" si="9"/>
        <v>0</v>
      </c>
      <c r="X21" s="54">
        <v>0</v>
      </c>
      <c r="Y21" s="55">
        <v>0.01</v>
      </c>
      <c r="Z21" s="54">
        <f t="shared" si="20"/>
        <v>0</v>
      </c>
      <c r="AA21" s="47">
        <f t="shared" si="21"/>
        <v>0</v>
      </c>
      <c r="AB21" s="47">
        <f t="shared" si="10"/>
        <v>0</v>
      </c>
      <c r="AE21" s="46" t="str">
        <f t="shared" si="11"/>
        <v>Credit Protection</v>
      </c>
      <c r="AF21" s="56">
        <f t="shared" si="23"/>
        <v>0.03</v>
      </c>
      <c r="AG21" s="47">
        <f t="shared" si="12"/>
        <v>0</v>
      </c>
      <c r="AH21" s="7">
        <v>0</v>
      </c>
      <c r="AI21" s="47">
        <f t="shared" si="13"/>
        <v>0</v>
      </c>
      <c r="AJ21" s="47">
        <f t="shared" si="14"/>
        <v>0</v>
      </c>
      <c r="AK21" s="47">
        <v>0</v>
      </c>
      <c r="AL21" s="47"/>
      <c r="AM21" s="47"/>
      <c r="AN21" s="47"/>
      <c r="AO21" s="47"/>
      <c r="AP21" s="47"/>
      <c r="AS21" s="46" t="str">
        <f t="shared" si="22"/>
        <v>Credit Protection</v>
      </c>
      <c r="AT21" s="56"/>
      <c r="AU21" s="47"/>
      <c r="AV21" s="7"/>
      <c r="AW21" s="33"/>
      <c r="AX21" s="33"/>
      <c r="AY21" s="33"/>
      <c r="AZ21" s="33"/>
      <c r="BA21" s="33"/>
    </row>
    <row r="22" spans="2:54">
      <c r="B22" s="46" t="s">
        <v>177</v>
      </c>
      <c r="C22" s="47">
        <v>0</v>
      </c>
      <c r="D22" s="47">
        <v>0</v>
      </c>
      <c r="E22" s="47">
        <f t="shared" si="15"/>
        <v>0</v>
      </c>
      <c r="F22" s="47">
        <v>0.39748</v>
      </c>
      <c r="G22" s="47">
        <f t="shared" si="16"/>
        <v>-0.39748</v>
      </c>
      <c r="H22" s="48">
        <f t="shared" si="17"/>
        <v>0.39748</v>
      </c>
      <c r="I22" s="49">
        <v>0</v>
      </c>
      <c r="J22" s="50">
        <f t="shared" si="18"/>
        <v>0</v>
      </c>
      <c r="K22" s="51" t="s">
        <v>165</v>
      </c>
      <c r="L22" s="52">
        <v>0</v>
      </c>
      <c r="M22" s="50">
        <f t="shared" si="19"/>
        <v>0</v>
      </c>
      <c r="P22" s="46" t="str">
        <f t="shared" si="5"/>
        <v>Fidelity</v>
      </c>
      <c r="Q22" s="53" t="s">
        <v>165</v>
      </c>
      <c r="R22" s="47">
        <f t="shared" si="6"/>
        <v>0</v>
      </c>
      <c r="S22" s="53" t="s">
        <v>165</v>
      </c>
      <c r="T22" s="47">
        <f t="shared" si="7"/>
        <v>0</v>
      </c>
      <c r="U22" s="47">
        <f t="shared" si="8"/>
        <v>0</v>
      </c>
      <c r="V22" s="49">
        <v>0</v>
      </c>
      <c r="W22" s="47">
        <f t="shared" si="9"/>
        <v>0</v>
      </c>
      <c r="X22" s="54">
        <v>0</v>
      </c>
      <c r="Y22" s="55">
        <v>0.01</v>
      </c>
      <c r="Z22" s="54">
        <f t="shared" si="20"/>
        <v>0</v>
      </c>
      <c r="AA22" s="47">
        <f t="shared" si="21"/>
        <v>0</v>
      </c>
      <c r="AB22" s="47">
        <f t="shared" si="10"/>
        <v>0</v>
      </c>
      <c r="AE22" s="46" t="str">
        <f t="shared" si="11"/>
        <v>Fidelity</v>
      </c>
      <c r="AF22" s="56">
        <f t="shared" si="23"/>
        <v>0.03</v>
      </c>
      <c r="AG22" s="47">
        <f t="shared" si="12"/>
        <v>0</v>
      </c>
      <c r="AH22" s="7">
        <v>0</v>
      </c>
      <c r="AI22" s="47">
        <f t="shared" si="13"/>
        <v>0</v>
      </c>
      <c r="AJ22" s="47">
        <f t="shared" si="14"/>
        <v>0.39748</v>
      </c>
      <c r="AK22" s="47">
        <v>0.10260769932861181</v>
      </c>
      <c r="AL22" s="47"/>
      <c r="AM22" s="47"/>
      <c r="AN22" s="47"/>
      <c r="AO22" s="47"/>
      <c r="AP22" s="47"/>
      <c r="AS22" s="46" t="str">
        <f t="shared" si="22"/>
        <v>Fidelity</v>
      </c>
      <c r="AT22" s="56"/>
      <c r="AU22" s="47"/>
      <c r="AV22" s="7"/>
      <c r="AW22" s="33"/>
      <c r="AX22" s="33"/>
      <c r="AY22" s="33"/>
      <c r="AZ22" s="33"/>
      <c r="BA22" s="33"/>
    </row>
    <row r="23" spans="2:54">
      <c r="B23" s="46" t="s">
        <v>178</v>
      </c>
      <c r="C23" s="47">
        <v>0</v>
      </c>
      <c r="D23" s="47">
        <v>0</v>
      </c>
      <c r="E23" s="47">
        <f t="shared" si="15"/>
        <v>0</v>
      </c>
      <c r="F23" s="47">
        <v>0</v>
      </c>
      <c r="G23" s="47">
        <f t="shared" si="16"/>
        <v>0</v>
      </c>
      <c r="H23" s="48">
        <f t="shared" si="17"/>
        <v>0</v>
      </c>
      <c r="I23" s="49">
        <v>0</v>
      </c>
      <c r="J23" s="50">
        <f t="shared" si="18"/>
        <v>0</v>
      </c>
      <c r="K23" s="51" t="s">
        <v>165</v>
      </c>
      <c r="L23" s="52">
        <v>0</v>
      </c>
      <c r="M23" s="50">
        <f t="shared" si="19"/>
        <v>0</v>
      </c>
      <c r="P23" s="46" t="str">
        <f t="shared" si="5"/>
        <v>Hail</v>
      </c>
      <c r="Q23" s="53" t="s">
        <v>165</v>
      </c>
      <c r="R23" s="47">
        <f t="shared" si="6"/>
        <v>0</v>
      </c>
      <c r="S23" s="53" t="s">
        <v>165</v>
      </c>
      <c r="T23" s="47">
        <f t="shared" si="7"/>
        <v>0</v>
      </c>
      <c r="U23" s="47">
        <f t="shared" si="8"/>
        <v>0</v>
      </c>
      <c r="V23" s="49">
        <v>0</v>
      </c>
      <c r="W23" s="47">
        <f t="shared" si="9"/>
        <v>0</v>
      </c>
      <c r="X23" s="54">
        <v>0</v>
      </c>
      <c r="Y23" s="55">
        <v>0.01</v>
      </c>
      <c r="Z23" s="54">
        <f t="shared" si="20"/>
        <v>0</v>
      </c>
      <c r="AA23" s="47">
        <f t="shared" si="21"/>
        <v>0</v>
      </c>
      <c r="AB23" s="47">
        <f t="shared" si="10"/>
        <v>0</v>
      </c>
      <c r="AE23" s="46" t="str">
        <f t="shared" si="11"/>
        <v>Hail</v>
      </c>
      <c r="AF23" s="56">
        <f t="shared" si="23"/>
        <v>0.03</v>
      </c>
      <c r="AG23" s="47">
        <f t="shared" si="12"/>
        <v>0</v>
      </c>
      <c r="AH23" s="7">
        <v>0</v>
      </c>
      <c r="AI23" s="47">
        <f t="shared" si="13"/>
        <v>0</v>
      </c>
      <c r="AJ23" s="47">
        <f t="shared" si="14"/>
        <v>0</v>
      </c>
      <c r="AK23" s="47">
        <v>0</v>
      </c>
      <c r="AL23" s="47"/>
      <c r="AM23" s="47"/>
      <c r="AN23" s="47"/>
      <c r="AO23" s="47"/>
      <c r="AP23" s="47"/>
      <c r="AS23" s="46" t="str">
        <f t="shared" si="22"/>
        <v>Hail</v>
      </c>
      <c r="AT23" s="56"/>
      <c r="AU23" s="47"/>
      <c r="AV23" s="7"/>
      <c r="AW23" s="33"/>
      <c r="AX23" s="33"/>
      <c r="AY23" s="33"/>
      <c r="AZ23" s="33"/>
      <c r="BA23" s="33"/>
    </row>
    <row r="24" spans="2:54">
      <c r="B24" s="46" t="s">
        <v>179</v>
      </c>
      <c r="C24" s="47">
        <v>0</v>
      </c>
      <c r="D24" s="47">
        <v>0</v>
      </c>
      <c r="E24" s="47">
        <f t="shared" si="15"/>
        <v>0</v>
      </c>
      <c r="F24" s="47">
        <v>0</v>
      </c>
      <c r="G24" s="47">
        <f t="shared" si="16"/>
        <v>0</v>
      </c>
      <c r="H24" s="48">
        <f t="shared" si="17"/>
        <v>0</v>
      </c>
      <c r="I24" s="49">
        <v>0</v>
      </c>
      <c r="J24" s="50">
        <f t="shared" si="18"/>
        <v>0</v>
      </c>
      <c r="K24" s="51" t="s">
        <v>165</v>
      </c>
      <c r="L24" s="52">
        <v>0</v>
      </c>
      <c r="M24" s="50">
        <f t="shared" si="19"/>
        <v>0</v>
      </c>
      <c r="P24" s="46" t="str">
        <f t="shared" si="5"/>
        <v>Legal Expense</v>
      </c>
      <c r="Q24" s="53" t="s">
        <v>165</v>
      </c>
      <c r="R24" s="47">
        <f t="shared" si="6"/>
        <v>0</v>
      </c>
      <c r="S24" s="53" t="s">
        <v>165</v>
      </c>
      <c r="T24" s="47">
        <f t="shared" si="7"/>
        <v>0</v>
      </c>
      <c r="U24" s="47">
        <f t="shared" si="8"/>
        <v>0</v>
      </c>
      <c r="V24" s="49">
        <v>0</v>
      </c>
      <c r="W24" s="47">
        <f t="shared" si="9"/>
        <v>0</v>
      </c>
      <c r="X24" s="54">
        <v>0</v>
      </c>
      <c r="Y24" s="55">
        <v>0.01</v>
      </c>
      <c r="Z24" s="54">
        <f t="shared" si="20"/>
        <v>0</v>
      </c>
      <c r="AA24" s="47">
        <f t="shared" si="21"/>
        <v>0</v>
      </c>
      <c r="AB24" s="47">
        <f t="shared" si="10"/>
        <v>0</v>
      </c>
      <c r="AE24" s="46" t="str">
        <f t="shared" si="11"/>
        <v>Legal Expense</v>
      </c>
      <c r="AF24" s="56">
        <f t="shared" si="23"/>
        <v>0.03</v>
      </c>
      <c r="AG24" s="47">
        <f t="shared" si="12"/>
        <v>0</v>
      </c>
      <c r="AH24" s="7">
        <v>0</v>
      </c>
      <c r="AI24" s="47">
        <f t="shared" si="13"/>
        <v>0</v>
      </c>
      <c r="AJ24" s="47">
        <f t="shared" si="14"/>
        <v>0</v>
      </c>
      <c r="AK24" s="47">
        <v>0</v>
      </c>
      <c r="AL24" s="47"/>
      <c r="AM24" s="47"/>
      <c r="AN24" s="47"/>
      <c r="AO24" s="47"/>
      <c r="AP24" s="47"/>
      <c r="AS24" s="46" t="str">
        <f t="shared" si="22"/>
        <v>Legal Expense</v>
      </c>
      <c r="AT24" s="56"/>
      <c r="AU24" s="47"/>
      <c r="AV24" s="7"/>
      <c r="AW24" s="33"/>
      <c r="AX24" s="33"/>
      <c r="AY24" s="33"/>
      <c r="AZ24" s="33"/>
      <c r="BA24" s="33"/>
    </row>
    <row r="25" spans="2:54">
      <c r="B25" s="46" t="s">
        <v>180</v>
      </c>
      <c r="C25" s="47">
        <v>0</v>
      </c>
      <c r="D25" s="47">
        <v>5000</v>
      </c>
      <c r="E25" s="47">
        <f t="shared" si="15"/>
        <v>5000</v>
      </c>
      <c r="F25" s="47">
        <v>1000</v>
      </c>
      <c r="G25" s="47">
        <f t="shared" si="16"/>
        <v>4000</v>
      </c>
      <c r="H25" s="48">
        <v>250</v>
      </c>
      <c r="I25" s="49">
        <v>0.73</v>
      </c>
      <c r="J25" s="50">
        <f t="shared" si="18"/>
        <v>2737.5</v>
      </c>
      <c r="K25" s="51" t="s">
        <v>165</v>
      </c>
      <c r="L25" s="52">
        <v>168.75</v>
      </c>
      <c r="M25" s="50">
        <f t="shared" si="19"/>
        <v>2906.25</v>
      </c>
      <c r="P25" s="46" t="str">
        <f t="shared" si="5"/>
        <v>Liability - Total</v>
      </c>
      <c r="Q25" s="53">
        <v>0.93713995943204864</v>
      </c>
      <c r="R25" s="47">
        <f t="shared" si="6"/>
        <v>2723.5630070993911</v>
      </c>
      <c r="S25" s="53">
        <v>0.9533115076654004</v>
      </c>
      <c r="T25" s="47">
        <f t="shared" si="7"/>
        <v>2770.56156915257</v>
      </c>
      <c r="U25" s="47">
        <f t="shared" si="8"/>
        <v>46.99856205317883</v>
      </c>
      <c r="V25" s="49">
        <v>0.1</v>
      </c>
      <c r="W25" s="47">
        <f t="shared" si="9"/>
        <v>272.35630070993915</v>
      </c>
      <c r="X25" s="54">
        <v>890.25180654158248</v>
      </c>
      <c r="Y25" s="55">
        <v>0.01</v>
      </c>
      <c r="Z25" s="54">
        <f t="shared" si="20"/>
        <v>8.9025180654158245</v>
      </c>
      <c r="AA25" s="47">
        <f t="shared" si="21"/>
        <v>328.25738082853383</v>
      </c>
      <c r="AB25" s="47">
        <f t="shared" si="10"/>
        <v>3051.8203879279249</v>
      </c>
      <c r="AE25" s="46" t="str">
        <f t="shared" si="11"/>
        <v>Liability - Total</v>
      </c>
      <c r="AF25" s="56">
        <f t="shared" si="23"/>
        <v>0.03</v>
      </c>
      <c r="AG25" s="47">
        <f t="shared" si="12"/>
        <v>150</v>
      </c>
      <c r="AH25" s="7">
        <v>0</v>
      </c>
      <c r="AI25" s="47">
        <f t="shared" si="13"/>
        <v>0</v>
      </c>
      <c r="AJ25" s="47">
        <f t="shared" si="14"/>
        <v>3451.8203879279249</v>
      </c>
      <c r="AK25" s="47">
        <v>258.14556538344522</v>
      </c>
      <c r="AL25" s="47"/>
      <c r="AM25" s="47"/>
      <c r="AN25" s="47"/>
      <c r="AO25" s="47"/>
      <c r="AP25" s="47"/>
      <c r="AS25" s="46" t="str">
        <f t="shared" si="22"/>
        <v>Liability - Total</v>
      </c>
      <c r="AT25" s="56"/>
      <c r="AU25" s="47"/>
      <c r="AV25" s="7"/>
      <c r="AW25" s="33"/>
      <c r="AX25" s="33"/>
      <c r="AY25" s="33"/>
      <c r="AZ25" s="33"/>
      <c r="BA25" s="33"/>
    </row>
    <row r="26" spans="2:54">
      <c r="B26" s="46" t="s">
        <v>181</v>
      </c>
      <c r="C26" s="47">
        <v>0</v>
      </c>
      <c r="D26" s="47">
        <v>0</v>
      </c>
      <c r="E26" s="47">
        <f t="shared" si="15"/>
        <v>0</v>
      </c>
      <c r="F26" s="54">
        <v>0</v>
      </c>
      <c r="G26" s="47">
        <f t="shared" si="16"/>
        <v>0</v>
      </c>
      <c r="H26" s="48">
        <f t="shared" ref="H26" si="24">F26</f>
        <v>0</v>
      </c>
      <c r="I26" s="49">
        <v>0</v>
      </c>
      <c r="J26" s="50">
        <f t="shared" si="18"/>
        <v>0</v>
      </c>
      <c r="K26" s="51" t="s">
        <v>165</v>
      </c>
      <c r="L26" s="52">
        <v>0</v>
      </c>
      <c r="M26" s="50">
        <f t="shared" si="19"/>
        <v>0</v>
      </c>
      <c r="P26" s="46" t="str">
        <f t="shared" si="5"/>
        <v>Other Approved Products</v>
      </c>
      <c r="Q26" s="53" t="s">
        <v>165</v>
      </c>
      <c r="R26" s="47">
        <f t="shared" si="6"/>
        <v>0</v>
      </c>
      <c r="S26" s="53" t="s">
        <v>165</v>
      </c>
      <c r="T26" s="47">
        <f t="shared" si="7"/>
        <v>0</v>
      </c>
      <c r="U26" s="47">
        <f t="shared" si="8"/>
        <v>0</v>
      </c>
      <c r="V26" s="49">
        <v>0</v>
      </c>
      <c r="W26" s="47">
        <f t="shared" si="9"/>
        <v>0</v>
      </c>
      <c r="X26" s="54">
        <v>0</v>
      </c>
      <c r="Y26" s="55">
        <v>0.01</v>
      </c>
      <c r="Z26" s="54">
        <f t="shared" si="20"/>
        <v>0</v>
      </c>
      <c r="AA26" s="47">
        <f t="shared" si="21"/>
        <v>0</v>
      </c>
      <c r="AB26" s="47">
        <f t="shared" si="10"/>
        <v>0</v>
      </c>
      <c r="AE26" s="46" t="str">
        <f t="shared" si="11"/>
        <v>Other Approved Products</v>
      </c>
      <c r="AF26" s="56">
        <f>AF24</f>
        <v>0.03</v>
      </c>
      <c r="AG26" s="47">
        <f t="shared" si="12"/>
        <v>0</v>
      </c>
      <c r="AH26" s="7">
        <v>0</v>
      </c>
      <c r="AI26" s="47">
        <f t="shared" si="13"/>
        <v>0</v>
      </c>
      <c r="AJ26" s="47">
        <f t="shared" si="14"/>
        <v>0</v>
      </c>
      <c r="AK26" s="47">
        <v>0</v>
      </c>
      <c r="AL26" s="47"/>
      <c r="AM26" s="47"/>
      <c r="AN26" s="47"/>
      <c r="AO26" s="47"/>
      <c r="AP26" s="47"/>
      <c r="AS26" s="46" t="str">
        <f t="shared" si="22"/>
        <v>Other Approved Products</v>
      </c>
      <c r="AT26" s="56"/>
      <c r="AU26" s="47"/>
      <c r="AV26" s="7"/>
      <c r="AW26" s="33"/>
      <c r="AX26" s="33"/>
      <c r="AY26" s="33"/>
      <c r="AZ26" s="33"/>
      <c r="BA26" s="33"/>
    </row>
    <row r="27" spans="2:54">
      <c r="B27" s="46" t="s">
        <v>182</v>
      </c>
      <c r="C27" s="47">
        <v>0</v>
      </c>
      <c r="D27" s="47">
        <v>0</v>
      </c>
      <c r="E27" s="47">
        <f t="shared" si="15"/>
        <v>0</v>
      </c>
      <c r="F27" s="54">
        <v>0</v>
      </c>
      <c r="G27" s="47">
        <f t="shared" si="16"/>
        <v>0</v>
      </c>
      <c r="H27" s="48">
        <f t="shared" si="17"/>
        <v>0</v>
      </c>
      <c r="I27" s="49">
        <v>0</v>
      </c>
      <c r="J27" s="50">
        <f t="shared" si="18"/>
        <v>0</v>
      </c>
      <c r="K27" s="51" t="s">
        <v>165</v>
      </c>
      <c r="L27" s="52">
        <v>0</v>
      </c>
      <c r="M27" s="50">
        <f t="shared" si="19"/>
        <v>0</v>
      </c>
      <c r="P27" s="46" t="str">
        <f t="shared" si="5"/>
        <v>Surety - Total</v>
      </c>
      <c r="Q27" s="53" t="s">
        <v>165</v>
      </c>
      <c r="R27" s="47">
        <f t="shared" si="6"/>
        <v>0</v>
      </c>
      <c r="S27" s="53" t="s">
        <v>165</v>
      </c>
      <c r="T27" s="47">
        <f t="shared" si="7"/>
        <v>0</v>
      </c>
      <c r="U27" s="47">
        <f t="shared" si="8"/>
        <v>0</v>
      </c>
      <c r="V27" s="49">
        <v>0</v>
      </c>
      <c r="W27" s="47">
        <f t="shared" si="9"/>
        <v>0</v>
      </c>
      <c r="X27" s="54">
        <v>0</v>
      </c>
      <c r="Y27" s="55">
        <v>0.01</v>
      </c>
      <c r="Z27" s="54">
        <f t="shared" si="20"/>
        <v>0</v>
      </c>
      <c r="AA27" s="47">
        <f t="shared" si="21"/>
        <v>0</v>
      </c>
      <c r="AB27" s="47">
        <f t="shared" si="10"/>
        <v>0</v>
      </c>
      <c r="AE27" s="46" t="str">
        <f t="shared" si="11"/>
        <v>Surety - Total</v>
      </c>
      <c r="AF27" s="56">
        <f>AF25</f>
        <v>0.03</v>
      </c>
      <c r="AG27" s="47">
        <f t="shared" si="12"/>
        <v>0</v>
      </c>
      <c r="AH27" s="7">
        <v>0</v>
      </c>
      <c r="AI27" s="47">
        <f t="shared" si="13"/>
        <v>0</v>
      </c>
      <c r="AJ27" s="47">
        <f t="shared" si="14"/>
        <v>0</v>
      </c>
      <c r="AK27" s="47">
        <v>0</v>
      </c>
      <c r="AL27" s="47"/>
      <c r="AM27" s="47"/>
      <c r="AN27" s="47"/>
      <c r="AO27" s="47"/>
      <c r="AP27" s="47"/>
      <c r="AS27" s="46" t="str">
        <f t="shared" si="22"/>
        <v>Surety - Total</v>
      </c>
      <c r="AT27" s="56"/>
      <c r="AU27" s="47"/>
      <c r="AV27" s="7"/>
      <c r="AW27" s="33"/>
      <c r="AX27" s="33"/>
      <c r="AY27" s="33"/>
      <c r="AZ27" s="33"/>
      <c r="BA27" s="33"/>
    </row>
    <row r="28" spans="2:54">
      <c r="B28" s="46" t="s">
        <v>183</v>
      </c>
      <c r="C28" s="47">
        <v>0</v>
      </c>
      <c r="D28" s="47">
        <v>0</v>
      </c>
      <c r="E28" s="47">
        <f t="shared" si="15"/>
        <v>0</v>
      </c>
      <c r="F28" s="54">
        <v>0</v>
      </c>
      <c r="G28" s="47">
        <f t="shared" si="16"/>
        <v>0</v>
      </c>
      <c r="H28" s="48">
        <f t="shared" si="17"/>
        <v>0</v>
      </c>
      <c r="I28" s="49">
        <v>0</v>
      </c>
      <c r="J28" s="50">
        <f t="shared" si="18"/>
        <v>0</v>
      </c>
      <c r="K28" s="51" t="s">
        <v>165</v>
      </c>
      <c r="L28" s="52">
        <v>0</v>
      </c>
      <c r="M28" s="50">
        <f t="shared" si="19"/>
        <v>0</v>
      </c>
      <c r="P28" s="46" t="str">
        <f t="shared" si="5"/>
        <v>Title</v>
      </c>
      <c r="Q28" s="53" t="s">
        <v>165</v>
      </c>
      <c r="R28" s="47">
        <f t="shared" si="6"/>
        <v>0</v>
      </c>
      <c r="S28" s="53" t="s">
        <v>165</v>
      </c>
      <c r="T28" s="47">
        <f t="shared" si="7"/>
        <v>0</v>
      </c>
      <c r="U28" s="47">
        <f t="shared" si="8"/>
        <v>0</v>
      </c>
      <c r="V28" s="49">
        <v>0</v>
      </c>
      <c r="W28" s="47">
        <f t="shared" si="9"/>
        <v>0</v>
      </c>
      <c r="X28" s="54">
        <v>0</v>
      </c>
      <c r="Y28" s="55">
        <v>0.01</v>
      </c>
      <c r="Z28" s="54">
        <f t="shared" si="20"/>
        <v>0</v>
      </c>
      <c r="AA28" s="47">
        <f t="shared" si="21"/>
        <v>0</v>
      </c>
      <c r="AB28" s="47">
        <f t="shared" si="10"/>
        <v>0</v>
      </c>
      <c r="AE28" s="46" t="str">
        <f t="shared" si="11"/>
        <v>Title</v>
      </c>
      <c r="AF28" s="56">
        <f t="shared" si="23"/>
        <v>0.03</v>
      </c>
      <c r="AG28" s="47">
        <f t="shared" si="12"/>
        <v>0</v>
      </c>
      <c r="AH28" s="7">
        <v>0</v>
      </c>
      <c r="AI28" s="47">
        <f t="shared" si="13"/>
        <v>0</v>
      </c>
      <c r="AJ28" s="47">
        <f t="shared" si="14"/>
        <v>0</v>
      </c>
      <c r="AK28" s="47">
        <v>0</v>
      </c>
      <c r="AL28" s="47"/>
      <c r="AM28" s="47"/>
      <c r="AN28" s="47"/>
      <c r="AO28" s="47"/>
      <c r="AP28" s="47"/>
      <c r="AS28" s="46" t="str">
        <f t="shared" si="22"/>
        <v>Title</v>
      </c>
      <c r="AT28" s="56"/>
      <c r="AU28" s="47"/>
      <c r="AV28" s="7"/>
      <c r="AW28" s="33"/>
      <c r="AX28" s="33"/>
      <c r="AY28" s="33"/>
      <c r="AZ28" s="33"/>
      <c r="BA28" s="33"/>
    </row>
    <row r="29" spans="2:54">
      <c r="B29" s="46" t="s">
        <v>184</v>
      </c>
      <c r="C29" s="47">
        <v>0</v>
      </c>
      <c r="D29" s="47">
        <v>0</v>
      </c>
      <c r="E29" s="47">
        <f t="shared" si="15"/>
        <v>0</v>
      </c>
      <c r="F29" s="54">
        <v>0</v>
      </c>
      <c r="G29" s="47">
        <f t="shared" si="16"/>
        <v>0</v>
      </c>
      <c r="H29" s="48">
        <f t="shared" si="17"/>
        <v>0</v>
      </c>
      <c r="I29" s="49">
        <v>0</v>
      </c>
      <c r="J29" s="50">
        <f t="shared" si="18"/>
        <v>0</v>
      </c>
      <c r="K29" s="51" t="s">
        <v>165</v>
      </c>
      <c r="L29" s="52">
        <v>0</v>
      </c>
      <c r="M29" s="50">
        <f t="shared" si="19"/>
        <v>0</v>
      </c>
      <c r="P29" s="46" t="str">
        <f t="shared" si="5"/>
        <v>Marine</v>
      </c>
      <c r="Q29" s="53" t="s">
        <v>165</v>
      </c>
      <c r="R29" s="47">
        <f t="shared" si="6"/>
        <v>0</v>
      </c>
      <c r="S29" s="53" t="s">
        <v>165</v>
      </c>
      <c r="T29" s="47">
        <f t="shared" si="7"/>
        <v>0</v>
      </c>
      <c r="U29" s="47">
        <f t="shared" si="8"/>
        <v>0</v>
      </c>
      <c r="V29" s="49">
        <v>0</v>
      </c>
      <c r="W29" s="47">
        <f t="shared" si="9"/>
        <v>0</v>
      </c>
      <c r="X29" s="54">
        <v>0</v>
      </c>
      <c r="Y29" s="55">
        <v>0.01</v>
      </c>
      <c r="Z29" s="54">
        <f t="shared" si="20"/>
        <v>0</v>
      </c>
      <c r="AA29" s="47">
        <f t="shared" si="21"/>
        <v>0</v>
      </c>
      <c r="AB29" s="47">
        <f t="shared" si="10"/>
        <v>0</v>
      </c>
      <c r="AE29" s="46" t="str">
        <f t="shared" si="11"/>
        <v>Marine</v>
      </c>
      <c r="AF29" s="56">
        <f>AF27</f>
        <v>0.03</v>
      </c>
      <c r="AG29" s="47">
        <f t="shared" si="12"/>
        <v>0</v>
      </c>
      <c r="AH29" s="7">
        <v>0</v>
      </c>
      <c r="AI29" s="47">
        <f t="shared" si="13"/>
        <v>0</v>
      </c>
      <c r="AJ29" s="47">
        <f t="shared" si="14"/>
        <v>0</v>
      </c>
      <c r="AK29" s="47">
        <v>0</v>
      </c>
      <c r="AL29" s="47"/>
      <c r="AM29" s="47"/>
      <c r="AN29" s="47"/>
      <c r="AO29" s="47"/>
      <c r="AP29" s="47"/>
      <c r="AS29" s="46" t="str">
        <f t="shared" si="22"/>
        <v>Marine</v>
      </c>
      <c r="AT29" s="56"/>
      <c r="AU29" s="47"/>
      <c r="AV29" s="7"/>
      <c r="AW29" s="33"/>
      <c r="AX29" s="33"/>
      <c r="AY29" s="33"/>
      <c r="AZ29" s="33"/>
      <c r="BA29" s="33"/>
    </row>
    <row r="30" spans="2:54">
      <c r="B30" s="46" t="s">
        <v>185</v>
      </c>
      <c r="C30" s="47">
        <v>0</v>
      </c>
      <c r="D30" s="47">
        <v>0</v>
      </c>
      <c r="E30" s="47">
        <f t="shared" si="15"/>
        <v>0</v>
      </c>
      <c r="F30" s="54">
        <v>0</v>
      </c>
      <c r="G30" s="47">
        <f t="shared" si="16"/>
        <v>0</v>
      </c>
      <c r="H30" s="48">
        <f t="shared" si="17"/>
        <v>0</v>
      </c>
      <c r="I30" s="49">
        <v>0</v>
      </c>
      <c r="J30" s="50">
        <f t="shared" si="18"/>
        <v>0</v>
      </c>
      <c r="K30" s="51" t="s">
        <v>165</v>
      </c>
      <c r="L30" s="52">
        <v>0</v>
      </c>
      <c r="M30" s="50">
        <f t="shared" si="19"/>
        <v>0</v>
      </c>
      <c r="P30" s="46" t="str">
        <f t="shared" si="5"/>
        <v>Accident &amp; Sickness</v>
      </c>
      <c r="Q30" s="53" t="s">
        <v>165</v>
      </c>
      <c r="R30" s="47">
        <f t="shared" si="6"/>
        <v>0</v>
      </c>
      <c r="S30" s="53" t="s">
        <v>165</v>
      </c>
      <c r="T30" s="47">
        <f t="shared" si="7"/>
        <v>0</v>
      </c>
      <c r="U30" s="47">
        <f t="shared" si="8"/>
        <v>0</v>
      </c>
      <c r="V30" s="49">
        <v>0</v>
      </c>
      <c r="W30" s="47">
        <f t="shared" si="9"/>
        <v>0</v>
      </c>
      <c r="X30" s="54">
        <v>0</v>
      </c>
      <c r="Y30" s="55">
        <v>0.01</v>
      </c>
      <c r="Z30" s="54">
        <f t="shared" si="20"/>
        <v>0</v>
      </c>
      <c r="AA30" s="47">
        <f t="shared" si="21"/>
        <v>0</v>
      </c>
      <c r="AB30" s="47">
        <f t="shared" si="10"/>
        <v>0</v>
      </c>
      <c r="AE30" s="46" t="str">
        <f t="shared" si="11"/>
        <v>Accident &amp; Sickness</v>
      </c>
      <c r="AF30" s="56">
        <f>AF28</f>
        <v>0.03</v>
      </c>
      <c r="AG30" s="47">
        <f t="shared" si="12"/>
        <v>0</v>
      </c>
      <c r="AH30" s="7">
        <v>0</v>
      </c>
      <c r="AI30" s="47">
        <f t="shared" si="13"/>
        <v>0</v>
      </c>
      <c r="AJ30" s="47">
        <f t="shared" si="14"/>
        <v>0</v>
      </c>
      <c r="AK30" s="47">
        <v>0</v>
      </c>
      <c r="AL30" s="47"/>
      <c r="AM30" s="47"/>
      <c r="AN30" s="47"/>
      <c r="AO30" s="47"/>
      <c r="AP30" s="47"/>
      <c r="AS30" s="46" t="str">
        <f t="shared" si="22"/>
        <v>Accident &amp; Sickness</v>
      </c>
      <c r="AT30" s="56"/>
      <c r="AU30" s="47"/>
      <c r="AV30" s="7"/>
      <c r="AW30" s="33"/>
      <c r="AX30" s="33"/>
      <c r="AY30" s="33"/>
      <c r="AZ30" s="33"/>
      <c r="BA30" s="33"/>
    </row>
    <row r="31" spans="2:54" s="12" customFormat="1">
      <c r="B31" s="57" t="s">
        <v>4</v>
      </c>
      <c r="C31" s="58">
        <f t="shared" ref="C31:H31" si="25">SUM(C10:C30)</f>
        <v>118000</v>
      </c>
      <c r="D31" s="58">
        <f t="shared" si="25"/>
        <v>5000</v>
      </c>
      <c r="E31" s="58">
        <f t="shared" si="25"/>
        <v>123000</v>
      </c>
      <c r="F31" s="58">
        <f t="shared" si="25"/>
        <v>6000.3974799999996</v>
      </c>
      <c r="G31" s="58">
        <f t="shared" si="25"/>
        <v>116999.60252</v>
      </c>
      <c r="H31" s="58">
        <f t="shared" si="25"/>
        <v>6250.3974799999996</v>
      </c>
      <c r="I31" s="59">
        <f>SUMPRODUCT(I10:I30, $E10:$E30)/E31</f>
        <v>0.91788617886178858</v>
      </c>
      <c r="J31" s="58">
        <f>SUM(J10:J30)</f>
        <v>101027.5</v>
      </c>
      <c r="K31" s="60" t="s">
        <v>165</v>
      </c>
      <c r="L31" s="58">
        <f>SUM(L10:L30)</f>
        <v>5069.25</v>
      </c>
      <c r="M31" s="58">
        <f>SUM(M10:M30)</f>
        <v>106096.75</v>
      </c>
      <c r="P31" s="57" t="str">
        <f t="shared" si="5"/>
        <v>Total</v>
      </c>
      <c r="Q31" s="61">
        <f>R31/M31</f>
        <v>0.94010475249802017</v>
      </c>
      <c r="R31" s="58">
        <f>SUM(R10:R30)</f>
        <v>99742.058899594325</v>
      </c>
      <c r="S31" s="61">
        <f>T31/M31</f>
        <v>0.95721860089938171</v>
      </c>
      <c r="T31" s="58">
        <f>SUM(T10:T30)</f>
        <v>101557.78259497148</v>
      </c>
      <c r="U31" s="58">
        <f>SUM(U10:U30)</f>
        <v>1815.7236953771553</v>
      </c>
      <c r="V31" s="62">
        <f>W31/R31</f>
        <v>9.7497003024512655E-2</v>
      </c>
      <c r="W31" s="58">
        <f>SUM(W10:W30)</f>
        <v>9724.5518182048672</v>
      </c>
      <c r="X31" s="58">
        <f>SUM(X10:X30)</f>
        <v>13024.178425342809</v>
      </c>
      <c r="Y31" s="62">
        <f>Z31/X31</f>
        <v>0.01</v>
      </c>
      <c r="Z31" s="58">
        <f>SUM(Z10:Z30)</f>
        <v>130.24178425342808</v>
      </c>
      <c r="AA31" s="58">
        <f>SUM(AA10:AA30)</f>
        <v>11670.517297835453</v>
      </c>
      <c r="AB31" s="58">
        <f>SUM(AB10:AB30)</f>
        <v>111412.57619742978</v>
      </c>
      <c r="AE31" s="57" t="str">
        <f t="shared" si="11"/>
        <v>Total</v>
      </c>
      <c r="AF31" s="63">
        <f>AG31/E31</f>
        <v>0.03</v>
      </c>
      <c r="AG31" s="58">
        <f>SUM(AG10:AG30)</f>
        <v>3690</v>
      </c>
      <c r="AH31" s="63">
        <f>AI31/E31</f>
        <v>0</v>
      </c>
      <c r="AI31" s="58">
        <f>SUM(AI10:AI30)</f>
        <v>0</v>
      </c>
      <c r="AJ31" s="64">
        <f>SUM(AJ10:AJ30)</f>
        <v>121352.97367742978</v>
      </c>
      <c r="AK31" s="58">
        <f>SUM(AK10:AK30)</f>
        <v>1548.9759999999999</v>
      </c>
      <c r="AL31" s="58">
        <f>IF(AK31="--",G31-AJ31,G31-AJ31+AK31)</f>
        <v>-2804.395157429778</v>
      </c>
      <c r="AM31" s="58">
        <f>MAX(AL31,0)</f>
        <v>0</v>
      </c>
      <c r="AN31" s="58">
        <v>20000</v>
      </c>
      <c r="AO31" s="58">
        <f>MIN(AM31,AN31)</f>
        <v>0</v>
      </c>
      <c r="AP31" s="58">
        <f>IF(AL31&lt;0,-AL31,0)</f>
        <v>2804.395157429778</v>
      </c>
      <c r="AQ31"/>
      <c r="AS31" s="57" t="str">
        <f>AE31</f>
        <v>Total</v>
      </c>
      <c r="AT31" s="58">
        <v>120997</v>
      </c>
      <c r="AU31" s="58">
        <v>121920</v>
      </c>
      <c r="AV31" s="69">
        <f>-(AT31-AU31)/('App A Sh2-3'!$C$17-(-'App A Sh2-3'!$C$17))/AJ31</f>
        <v>3.8029558404289316</v>
      </c>
      <c r="AW31" s="33"/>
      <c r="AX31" s="33"/>
      <c r="AY31" s="33"/>
      <c r="AZ31" s="33"/>
      <c r="BA31" s="33"/>
      <c r="BB31"/>
    </row>
    <row r="32" spans="2:54">
      <c r="AT32" t="s">
        <v>203</v>
      </c>
      <c r="AU32" t="s">
        <v>203</v>
      </c>
      <c r="AW32" s="33"/>
      <c r="AX32" s="33"/>
      <c r="AY32" s="33"/>
      <c r="AZ32" s="33"/>
      <c r="BA32" s="33"/>
    </row>
    <row r="36" spans="2:49">
      <c r="B36" s="65" t="s">
        <v>209</v>
      </c>
      <c r="H36" s="65" t="s">
        <v>186</v>
      </c>
      <c r="P36" s="65" t="s">
        <v>213</v>
      </c>
      <c r="U36" s="65" t="s">
        <v>353</v>
      </c>
      <c r="AE36" s="65" t="s">
        <v>208</v>
      </c>
      <c r="AL36" t="s">
        <v>270</v>
      </c>
      <c r="AS36" t="s">
        <v>302</v>
      </c>
    </row>
    <row r="37" spans="2:49">
      <c r="B37" s="65" t="s">
        <v>210</v>
      </c>
      <c r="H37" t="s">
        <v>211</v>
      </c>
      <c r="P37" t="s">
        <v>271</v>
      </c>
      <c r="U37" t="s">
        <v>187</v>
      </c>
      <c r="AE37" s="65" t="s">
        <v>188</v>
      </c>
      <c r="AL37" t="s">
        <v>189</v>
      </c>
      <c r="AS37" t="s">
        <v>303</v>
      </c>
    </row>
    <row r="38" spans="2:49">
      <c r="B38" s="65" t="s">
        <v>190</v>
      </c>
      <c r="H38" s="65" t="s">
        <v>191</v>
      </c>
      <c r="P38" s="65" t="s">
        <v>214</v>
      </c>
      <c r="U38" t="s">
        <v>192</v>
      </c>
      <c r="AE38" s="65" t="s">
        <v>193</v>
      </c>
      <c r="AL38" t="s">
        <v>205</v>
      </c>
      <c r="AS38" t="s">
        <v>377</v>
      </c>
    </row>
    <row r="39" spans="2:49">
      <c r="B39" t="s">
        <v>194</v>
      </c>
      <c r="P39" t="s">
        <v>272</v>
      </c>
      <c r="U39" t="s">
        <v>207</v>
      </c>
      <c r="AE39" s="65" t="s">
        <v>195</v>
      </c>
      <c r="AL39" t="s">
        <v>206</v>
      </c>
      <c r="AS39" s="65"/>
    </row>
    <row r="40" spans="2:49">
      <c r="B40" s="65" t="s">
        <v>196</v>
      </c>
      <c r="P40" t="s">
        <v>273</v>
      </c>
      <c r="U40" t="s">
        <v>274</v>
      </c>
      <c r="AE40" s="65" t="s">
        <v>197</v>
      </c>
      <c r="AS40" s="65"/>
    </row>
    <row r="41" spans="2:49">
      <c r="B41" s="65" t="s">
        <v>198</v>
      </c>
      <c r="P41" s="65" t="s">
        <v>199</v>
      </c>
      <c r="AE41" t="s">
        <v>200</v>
      </c>
    </row>
    <row r="42" spans="2:49">
      <c r="B42" s="65" t="s">
        <v>212</v>
      </c>
      <c r="P42" t="s">
        <v>275</v>
      </c>
      <c r="AE42" s="65" t="s">
        <v>201</v>
      </c>
      <c r="AI42" s="19"/>
      <c r="AS42" s="65"/>
      <c r="AW42" s="19"/>
    </row>
    <row r="43" spans="2:49" ht="15.6">
      <c r="B43" s="65" t="s">
        <v>202</v>
      </c>
      <c r="P43" s="66" t="s">
        <v>203</v>
      </c>
      <c r="U43" s="66" t="s">
        <v>203</v>
      </c>
      <c r="AI43" s="19" t="s">
        <v>203</v>
      </c>
      <c r="AV43" s="67" t="s">
        <v>203</v>
      </c>
      <c r="AW43" s="19" t="s">
        <v>203</v>
      </c>
    </row>
  </sheetData>
  <pageMargins left="0.70866141732283472" right="0.70866141732283472" top="0.74803149606299213" bottom="0.74803149606299213" header="0.31496062992125984" footer="0.31496062992125984"/>
  <pageSetup scale="71" fitToWidth="5" orientation="landscape" r:id="rId1"/>
  <headerFooter>
    <oddHeader>&amp;C&amp;G</oddHeader>
  </headerFooter>
  <colBreaks count="2" manualBreakCount="2">
    <brk id="14" max="1048575" man="1"/>
    <brk id="2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App A Sh1</vt:lpstr>
      <vt:lpstr>App A Sh2-3</vt:lpstr>
      <vt:lpstr>App A Sh4</vt:lpstr>
      <vt:lpstr>App A Sh5</vt:lpstr>
      <vt:lpstr>App B</vt:lpstr>
      <vt:lpstr>App C</vt:lpstr>
      <vt:lpstr>'App A Sh1'!Print_Area</vt:lpstr>
      <vt:lpstr>'App A Sh2-3'!Print_Area</vt:lpstr>
      <vt:lpstr>'App A Sh4'!Print_Area</vt:lpstr>
      <vt:lpstr>'App A Sh5'!Print_Area</vt:lpstr>
      <vt:lpstr>'App B'!Print_Area</vt:lpstr>
      <vt:lpstr>'App A Sh2-3'!Print_Titles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Yeung</dc:creator>
  <cp:lastModifiedBy>Josée Racette</cp:lastModifiedBy>
  <cp:lastPrinted>2016-11-24T03:09:07Z</cp:lastPrinted>
  <dcterms:created xsi:type="dcterms:W3CDTF">2012-07-16T16:24:05Z</dcterms:created>
  <dcterms:modified xsi:type="dcterms:W3CDTF">2023-08-17T15:44:04Z</dcterms:modified>
</cp:coreProperties>
</file>