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mc:AlternateContent xmlns:mc="http://schemas.openxmlformats.org/markup-compatibility/2006">
    <mc:Choice Requires="x15">
      <x15ac:absPath xmlns:x15ac="http://schemas.microsoft.com/office/spreadsheetml/2010/11/ac" url="Z:\#01 - CIA\Professional Practice\PC\Ed Notes\1-Completed projects\Discounting (Life) 2020\Revised May 7\May 14\For publication\"/>
    </mc:Choice>
  </mc:AlternateContent>
  <xr:revisionPtr revIDLastSave="0" documentId="13_ncr:1_{4642D274-1E53-4B2B-846C-C8C43ABDA989}" xr6:coauthVersionLast="47" xr6:coauthVersionMax="47" xr10:uidLastSave="{00000000-0000-0000-0000-000000000000}"/>
  <workbookProtection lockStructure="1"/>
  <bookViews>
    <workbookView xWindow="28680" yWindow="-120" windowWidth="29040" windowHeight="15720" tabRatio="944" activeTab="7" xr2:uid="{00000000-000D-0000-FFFF-FFFF00000000}"/>
  </bookViews>
  <sheets>
    <sheet name="Introduction" sheetId="4" r:id="rId1"/>
    <sheet name="Données d'entrée des courbes" sheetId="9" r:id="rId2"/>
    <sheet name="Courbe de référence illiquide" sheetId="1" r:id="rId3"/>
    <sheet name="Méthode bootstrap illiquide" sheetId="3" r:id="rId4"/>
    <sheet name="Courbe de référence liquide" sheetId="5" r:id="rId5"/>
    <sheet name="Méthode bootstrap liquide" sheetId="8" r:id="rId6"/>
    <sheet name="Courbe d'actualisation IFRS 17" sheetId="12" r:id="rId7"/>
    <sheet name="Courbe bootstrap IFRS 17" sheetId="13" r:id="rId8"/>
  </sheets>
  <definedNames>
    <definedName name="interest_type">'Courbe de référence illiquide'!$C$4</definedName>
    <definedName name="interest_type_IFRS17">'Courbe d''actualisation IFRS 17'!$C$4</definedName>
    <definedName name="interest_type_Liq">'Courbe de référence liquide'!$C$4</definedName>
    <definedName name="Interpolation">'Courbe de référence illiquide'!$C$11</definedName>
    <definedName name="Interpolation_IFRS17">'Courbe d''actualisation IFRS 17'!$C$11</definedName>
    <definedName name="Interpolation_Liq">'Courbe de référence liquide'!$C$11</definedName>
    <definedName name="liq_prem_add">'Courbe de référence illiquide'!$C$9</definedName>
    <definedName name="liq_prem_add_IFRS17">'Courbe d''actualisation IFRS 17'!$C$9</definedName>
    <definedName name="liq_prem_add_Liq">'Courbe de référence liquide'!$C$9</definedName>
    <definedName name="liq_prem_ult">'Courbe de référence illiquide'!$C$10</definedName>
    <definedName name="liq_prem_ult_IFRS17">'Courbe d''actualisation IFRS 17'!$C$10</definedName>
    <definedName name="liq_prem_ult_Liq">'Courbe de référence liquide'!$C$10</definedName>
    <definedName name="liq_spread_ratio">'Courbe de référence illiquide'!$C$8</definedName>
    <definedName name="liq_spread_ratio_IFRS17">'Courbe d''actualisation IFRS 17'!$C$8</definedName>
    <definedName name="liq_spread_ratio_Liq">'Courbe de référence liquide'!$C$8</definedName>
    <definedName name="obs_period">'Courbe de référence illiquide'!$C$5</definedName>
    <definedName name="obs_period_IFRS17">'Courbe d''actualisation IFRS 17'!$C$5</definedName>
    <definedName name="obs_period_Liq">'Courbe de référence liquide'!$C$5</definedName>
    <definedName name="par_input">'Courbe de référence illiquide'!$B$17:$C$30</definedName>
    <definedName name="par_input_IFRS17">'Courbe d''actualisation IFRS 17'!$B$17:$C$30</definedName>
    <definedName name="par_input_Liq">'Courbe de référence liquide'!$B$17:$C$30</definedName>
    <definedName name="spread_input">'Courbe de référence illiquide'!$E$18:$F$30</definedName>
    <definedName name="spread_input_IFRS17">'Courbe d''actualisation IFRS 17'!$E$18:$F$30</definedName>
    <definedName name="spread_input_Liq">'Courbe de référence liquide'!$E$18:$F$30</definedName>
    <definedName name="ult_rate">'Courbe de référence illiquide'!$C$6</definedName>
    <definedName name="ult_rate_IFRS17">'Courbe d''actualisation IFRS 17'!$C$6</definedName>
    <definedName name="ult_rate_Liq">'Courbe de référence liquide'!$C$6</definedName>
    <definedName name="ult_rate_year">'Courbe de référence illiquide'!$C$7</definedName>
    <definedName name="ult_rate_year_IFRS17">'Courbe d''actualisation IFRS 17'!$C$7</definedName>
    <definedName name="ult_rate_year_Liq">'Courbe de référence liquide'!$C$7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2" i="12" l="1"/>
  <c r="T3" i="12" s="1"/>
  <c r="Z1" i="12"/>
  <c r="S3" i="12" s="1"/>
  <c r="S3" i="1" l="1"/>
  <c r="K18" i="12" l="1"/>
  <c r="H19" i="1" l="1"/>
  <c r="Q4" i="5" l="1"/>
  <c r="Q5" i="5"/>
  <c r="Q6" i="5"/>
  <c r="Q7" i="5"/>
  <c r="Q8" i="5"/>
  <c r="Q9" i="5"/>
  <c r="Q10" i="5"/>
  <c r="Q11" i="5"/>
  <c r="Q12" i="5"/>
  <c r="Q13" i="5"/>
  <c r="Q14" i="5"/>
  <c r="Q15" i="5"/>
  <c r="Q16" i="5"/>
  <c r="Q17" i="5"/>
  <c r="Q18" i="5"/>
  <c r="Q19" i="5"/>
  <c r="Q20" i="5"/>
  <c r="Q21" i="5"/>
  <c r="Q22" i="5"/>
  <c r="Q23" i="5"/>
  <c r="Q24" i="5"/>
  <c r="Q25" i="5"/>
  <c r="Q26" i="5"/>
  <c r="Q27" i="5"/>
  <c r="Q28" i="5"/>
  <c r="Q29" i="5"/>
  <c r="Q30" i="5"/>
  <c r="Q31" i="5"/>
  <c r="Q32" i="5"/>
  <c r="Q33" i="5"/>
  <c r="O83" i="5"/>
  <c r="R83" i="5"/>
  <c r="O84" i="5"/>
  <c r="R84" i="5"/>
  <c r="O85" i="5"/>
  <c r="R85" i="5"/>
  <c r="O86" i="5"/>
  <c r="R86" i="5"/>
  <c r="O87" i="5"/>
  <c r="R87" i="5"/>
  <c r="O88" i="5"/>
  <c r="R88" i="5"/>
  <c r="O89" i="5"/>
  <c r="R89" i="5"/>
  <c r="O90" i="5"/>
  <c r="R90" i="5"/>
  <c r="O91" i="5"/>
  <c r="R91" i="5"/>
  <c r="O92" i="5"/>
  <c r="R92" i="5"/>
  <c r="O93" i="5"/>
  <c r="R93" i="5"/>
  <c r="O94" i="5"/>
  <c r="R94" i="5"/>
  <c r="O95" i="5"/>
  <c r="R95" i="5"/>
  <c r="O96" i="5"/>
  <c r="R96" i="5"/>
  <c r="O97" i="5"/>
  <c r="R97" i="5"/>
  <c r="O98" i="5"/>
  <c r="R98" i="5"/>
  <c r="O99" i="5"/>
  <c r="R99" i="5"/>
  <c r="O100" i="5"/>
  <c r="R100" i="5"/>
  <c r="O101" i="5"/>
  <c r="R101" i="5"/>
  <c r="O102" i="5"/>
  <c r="R102" i="5"/>
  <c r="O103" i="5"/>
  <c r="R103" i="5"/>
  <c r="S90" i="5" l="1"/>
  <c r="S86" i="5"/>
  <c r="S84" i="5"/>
  <c r="S93" i="5"/>
  <c r="S83" i="5"/>
  <c r="S87" i="5"/>
  <c r="S99" i="5"/>
  <c r="S85" i="5"/>
  <c r="S100" i="5"/>
  <c r="S91" i="5"/>
  <c r="S101" i="5"/>
  <c r="S92" i="5"/>
  <c r="S95" i="5"/>
  <c r="S97" i="5"/>
  <c r="S103" i="5"/>
  <c r="S89" i="5"/>
  <c r="T90" i="5" s="1"/>
  <c r="S94" i="5"/>
  <c r="S98" i="5"/>
  <c r="S96" i="5"/>
  <c r="S88" i="5"/>
  <c r="S102" i="5"/>
  <c r="T85" i="5" l="1"/>
  <c r="T87" i="5"/>
  <c r="T98" i="5"/>
  <c r="T88" i="5"/>
  <c r="T96" i="5"/>
  <c r="T91" i="5"/>
  <c r="T92" i="5"/>
  <c r="T101" i="5"/>
  <c r="T103" i="5"/>
  <c r="T84" i="5"/>
  <c r="T93" i="5"/>
  <c r="T99" i="5"/>
  <c r="T89" i="5"/>
  <c r="T97" i="5"/>
  <c r="T102" i="5"/>
  <c r="T94" i="5"/>
  <c r="T95" i="5"/>
  <c r="T100" i="5"/>
  <c r="T86" i="5"/>
  <c r="C20" i="5"/>
  <c r="D10" i="8" s="1"/>
  <c r="C21" i="5"/>
  <c r="D12" i="8" s="1"/>
  <c r="C20" i="1"/>
  <c r="D10" i="3" s="1"/>
  <c r="R83" i="12" l="1"/>
  <c r="R84" i="12"/>
  <c r="R85" i="12"/>
  <c r="R86" i="12"/>
  <c r="R87" i="12"/>
  <c r="R88" i="12"/>
  <c r="R89" i="12"/>
  <c r="R90" i="12"/>
  <c r="R91" i="12"/>
  <c r="R92" i="12"/>
  <c r="R93" i="12"/>
  <c r="R94" i="12"/>
  <c r="R95" i="12"/>
  <c r="R96" i="12"/>
  <c r="R97" i="12"/>
  <c r="R98" i="12"/>
  <c r="R99" i="12"/>
  <c r="R100" i="12"/>
  <c r="R101" i="12"/>
  <c r="R102" i="12"/>
  <c r="R103" i="12"/>
  <c r="O83" i="12"/>
  <c r="O84" i="12"/>
  <c r="O85" i="12"/>
  <c r="O86" i="12"/>
  <c r="O87" i="12"/>
  <c r="O88" i="12"/>
  <c r="O89" i="12"/>
  <c r="O90" i="12"/>
  <c r="O91" i="12"/>
  <c r="O92" i="12"/>
  <c r="O93" i="12"/>
  <c r="O94" i="12"/>
  <c r="O95" i="12"/>
  <c r="O96" i="12"/>
  <c r="O97" i="12"/>
  <c r="O98" i="12"/>
  <c r="O99" i="12"/>
  <c r="O100" i="12"/>
  <c r="O101" i="12"/>
  <c r="O102" i="12"/>
  <c r="O103" i="12"/>
  <c r="C17" i="12"/>
  <c r="D5" i="13" s="1"/>
  <c r="Q5" i="12"/>
  <c r="Q6" i="12"/>
  <c r="Q7" i="12"/>
  <c r="Q8" i="12"/>
  <c r="Q9" i="12"/>
  <c r="Q10" i="12"/>
  <c r="Q11" i="12"/>
  <c r="Q12" i="12"/>
  <c r="Q13" i="12"/>
  <c r="Q14" i="12"/>
  <c r="Q15" i="12"/>
  <c r="Q16" i="12"/>
  <c r="Q17" i="12"/>
  <c r="Q18" i="12"/>
  <c r="Q19" i="12"/>
  <c r="Q20" i="12"/>
  <c r="Q21" i="12"/>
  <c r="Q22" i="12"/>
  <c r="Q23" i="12"/>
  <c r="Q24" i="12"/>
  <c r="Q25" i="12"/>
  <c r="Q26" i="12"/>
  <c r="Q27" i="12"/>
  <c r="Q28" i="12"/>
  <c r="Q29" i="12"/>
  <c r="Q30" i="12"/>
  <c r="Q31" i="12"/>
  <c r="Q32" i="12"/>
  <c r="Q33" i="12"/>
  <c r="Q4" i="12"/>
  <c r="G5" i="13" l="1"/>
  <c r="E5" i="13" s="1"/>
  <c r="S103" i="12"/>
  <c r="S102" i="12"/>
  <c r="S101" i="12"/>
  <c r="S100" i="12"/>
  <c r="S99" i="12"/>
  <c r="S98" i="12"/>
  <c r="S96" i="12"/>
  <c r="S95" i="12"/>
  <c r="S94" i="12"/>
  <c r="S92" i="12"/>
  <c r="S91" i="12"/>
  <c r="S90" i="12"/>
  <c r="S89" i="12"/>
  <c r="S88" i="12"/>
  <c r="S87" i="12"/>
  <c r="S86" i="12"/>
  <c r="S85" i="12"/>
  <c r="S84" i="12"/>
  <c r="S83" i="12"/>
  <c r="C30" i="12"/>
  <c r="D64" i="13" s="1"/>
  <c r="C29" i="12"/>
  <c r="D54" i="13" s="1"/>
  <c r="C28" i="12"/>
  <c r="D44" i="13" s="1"/>
  <c r="C27" i="12"/>
  <c r="D34" i="13" s="1"/>
  <c r="C26" i="12"/>
  <c r="D24" i="13" s="1"/>
  <c r="C25" i="12"/>
  <c r="D22" i="13" s="1"/>
  <c r="C24" i="12"/>
  <c r="D20" i="13" s="1"/>
  <c r="C23" i="12"/>
  <c r="D18" i="13" s="1"/>
  <c r="C22" i="12"/>
  <c r="D14" i="13" s="1"/>
  <c r="C21" i="12"/>
  <c r="D12" i="13" s="1"/>
  <c r="C20" i="12"/>
  <c r="D10" i="13" s="1"/>
  <c r="C19" i="12"/>
  <c r="D8" i="13" s="1"/>
  <c r="C18" i="12"/>
  <c r="D6" i="13" s="1"/>
  <c r="D23" i="13" l="1"/>
  <c r="D15" i="13"/>
  <c r="D16" i="13" s="1"/>
  <c r="D17" i="13" s="1"/>
  <c r="D21" i="13"/>
  <c r="D13" i="13"/>
  <c r="S97" i="12"/>
  <c r="S93" i="12"/>
  <c r="F22" i="12"/>
  <c r="P14" i="13" s="1"/>
  <c r="F30" i="12"/>
  <c r="P64" i="13" s="1"/>
  <c r="F25" i="12"/>
  <c r="P22" i="13" s="1"/>
  <c r="D7" i="13"/>
  <c r="F6" i="13"/>
  <c r="G6" i="13" s="1"/>
  <c r="D9" i="13"/>
  <c r="D11" i="13"/>
  <c r="D19" i="13"/>
  <c r="D35" i="13"/>
  <c r="D55" i="13"/>
  <c r="D45" i="13"/>
  <c r="D25" i="13"/>
  <c r="D26" i="13" s="1"/>
  <c r="F28" i="12"/>
  <c r="P44" i="13" s="1"/>
  <c r="F24" i="12"/>
  <c r="P20" i="13" s="1"/>
  <c r="F20" i="12"/>
  <c r="P10" i="13" s="1"/>
  <c r="F27" i="12"/>
  <c r="P34" i="13" s="1"/>
  <c r="F23" i="12"/>
  <c r="P18" i="13" s="1"/>
  <c r="F19" i="12"/>
  <c r="P8" i="13" s="1"/>
  <c r="K16" i="12"/>
  <c r="F21" i="12"/>
  <c r="P12" i="13" s="1"/>
  <c r="F29" i="12"/>
  <c r="P54" i="13" s="1"/>
  <c r="F18" i="12"/>
  <c r="F26" i="12"/>
  <c r="P24" i="13" s="1"/>
  <c r="H18" i="1"/>
  <c r="I18" i="1"/>
  <c r="J18" i="1"/>
  <c r="I19" i="1"/>
  <c r="J19" i="1"/>
  <c r="H20" i="1"/>
  <c r="I20" i="1"/>
  <c r="J20" i="1"/>
  <c r="H21" i="1"/>
  <c r="I21" i="1"/>
  <c r="J21" i="1"/>
  <c r="H22" i="1"/>
  <c r="I22" i="1"/>
  <c r="J22" i="1"/>
  <c r="H23" i="1"/>
  <c r="I23" i="1"/>
  <c r="J23" i="1"/>
  <c r="H24" i="1"/>
  <c r="I24" i="1"/>
  <c r="J24" i="1"/>
  <c r="H25" i="1"/>
  <c r="I25" i="1"/>
  <c r="J25" i="1"/>
  <c r="H26" i="1"/>
  <c r="I26" i="1"/>
  <c r="J26" i="1"/>
  <c r="H27" i="1"/>
  <c r="I27" i="1"/>
  <c r="J27" i="1"/>
  <c r="H28" i="1"/>
  <c r="I28" i="1"/>
  <c r="J28" i="1"/>
  <c r="H29" i="1"/>
  <c r="I29" i="1"/>
  <c r="J29" i="1"/>
  <c r="H30" i="1"/>
  <c r="I30" i="1"/>
  <c r="J30" i="1"/>
  <c r="G19" i="1"/>
  <c r="G20" i="1"/>
  <c r="G21" i="1"/>
  <c r="G22" i="1"/>
  <c r="G23" i="1"/>
  <c r="G24" i="1"/>
  <c r="G25" i="1"/>
  <c r="G26" i="1"/>
  <c r="G27" i="1"/>
  <c r="G28" i="1"/>
  <c r="G29" i="1"/>
  <c r="G30" i="1"/>
  <c r="G18" i="1"/>
  <c r="H18" i="5"/>
  <c r="I18" i="5"/>
  <c r="J18" i="5"/>
  <c r="H19" i="5"/>
  <c r="I19" i="5"/>
  <c r="J19" i="5"/>
  <c r="H20" i="5"/>
  <c r="I20" i="5"/>
  <c r="J20" i="5"/>
  <c r="H21" i="5"/>
  <c r="I21" i="5"/>
  <c r="J21" i="5"/>
  <c r="H22" i="5"/>
  <c r="I22" i="5"/>
  <c r="J22" i="5"/>
  <c r="H23" i="5"/>
  <c r="I23" i="5"/>
  <c r="J23" i="5"/>
  <c r="H24" i="5"/>
  <c r="I24" i="5"/>
  <c r="J24" i="5"/>
  <c r="H25" i="5"/>
  <c r="I25" i="5"/>
  <c r="J25" i="5"/>
  <c r="H26" i="5"/>
  <c r="I26" i="5"/>
  <c r="J26" i="5"/>
  <c r="H27" i="5"/>
  <c r="I27" i="5"/>
  <c r="J27" i="5"/>
  <c r="H28" i="5"/>
  <c r="I28" i="5"/>
  <c r="J28" i="5"/>
  <c r="H29" i="5"/>
  <c r="I29" i="5"/>
  <c r="J29" i="5"/>
  <c r="H30" i="5"/>
  <c r="I30" i="5"/>
  <c r="J30" i="5"/>
  <c r="G19" i="5"/>
  <c r="G20" i="5"/>
  <c r="G21" i="5"/>
  <c r="G22" i="5"/>
  <c r="G23" i="5"/>
  <c r="G24" i="5"/>
  <c r="G25" i="5"/>
  <c r="G26" i="5"/>
  <c r="G27" i="5"/>
  <c r="G28" i="5"/>
  <c r="G29" i="5"/>
  <c r="G30" i="5"/>
  <c r="G18" i="5"/>
  <c r="C18" i="5"/>
  <c r="D6" i="8" s="1"/>
  <c r="C19" i="5"/>
  <c r="D8" i="8" s="1"/>
  <c r="C22" i="5"/>
  <c r="D14" i="8" s="1"/>
  <c r="C23" i="5"/>
  <c r="D18" i="8" s="1"/>
  <c r="C24" i="5"/>
  <c r="D20" i="8" s="1"/>
  <c r="C25" i="5"/>
  <c r="D22" i="8" s="1"/>
  <c r="C26" i="5"/>
  <c r="D24" i="8" s="1"/>
  <c r="C27" i="5"/>
  <c r="D34" i="8" s="1"/>
  <c r="C28" i="5"/>
  <c r="D44" i="8" s="1"/>
  <c r="C29" i="5"/>
  <c r="D54" i="8" s="1"/>
  <c r="C30" i="5"/>
  <c r="D64" i="8" s="1"/>
  <c r="C17" i="5"/>
  <c r="D5" i="8" s="1"/>
  <c r="C30" i="1"/>
  <c r="D64" i="3" s="1"/>
  <c r="C29" i="1"/>
  <c r="D54" i="3" s="1"/>
  <c r="C28" i="1"/>
  <c r="D44" i="3" s="1"/>
  <c r="C27" i="1"/>
  <c r="D34" i="3" s="1"/>
  <c r="C26" i="1"/>
  <c r="D24" i="3" s="1"/>
  <c r="C25" i="1"/>
  <c r="D22" i="3" s="1"/>
  <c r="C24" i="1"/>
  <c r="D20" i="3" s="1"/>
  <c r="C23" i="1"/>
  <c r="D18" i="3" s="1"/>
  <c r="C22" i="1"/>
  <c r="D14" i="3" s="1"/>
  <c r="C21" i="1"/>
  <c r="D12" i="3" s="1"/>
  <c r="C19" i="1"/>
  <c r="D8" i="3" s="1"/>
  <c r="C18" i="1"/>
  <c r="D6" i="3" s="1"/>
  <c r="C17" i="1"/>
  <c r="D5" i="3" s="1"/>
  <c r="P6" i="13" l="1"/>
  <c r="P5" i="13" s="1"/>
  <c r="D27" i="13"/>
  <c r="D46" i="13"/>
  <c r="J5" i="13"/>
  <c r="E6" i="13"/>
  <c r="F7" i="13" s="1"/>
  <c r="G7" i="13" s="1"/>
  <c r="E7" i="13" s="1"/>
  <c r="D56" i="13"/>
  <c r="D36" i="13"/>
  <c r="K5" i="13" l="1"/>
  <c r="D47" i="13"/>
  <c r="D28" i="13"/>
  <c r="D37" i="13"/>
  <c r="F8" i="13"/>
  <c r="G8" i="13" s="1"/>
  <c r="D57" i="13"/>
  <c r="D48" i="13" l="1"/>
  <c r="D29" i="13"/>
  <c r="D58" i="13"/>
  <c r="E8" i="13"/>
  <c r="J6" i="13"/>
  <c r="D38" i="13"/>
  <c r="K6" i="13" l="1"/>
  <c r="D49" i="13"/>
  <c r="D39" i="13"/>
  <c r="F9" i="13"/>
  <c r="G9" i="13" s="1"/>
  <c r="E9" i="13" s="1"/>
  <c r="F10" i="13" s="1"/>
  <c r="G10" i="13" s="1"/>
  <c r="D30" i="13"/>
  <c r="D59" i="13"/>
  <c r="D60" i="13" l="1"/>
  <c r="D31" i="13"/>
  <c r="D40" i="13"/>
  <c r="E10" i="13"/>
  <c r="J7" i="13"/>
  <c r="D50" i="13"/>
  <c r="K7" i="13" l="1"/>
  <c r="D51" i="13"/>
  <c r="D41" i="13"/>
  <c r="F11" i="13"/>
  <c r="G11" i="13" s="1"/>
  <c r="E11" i="13" s="1"/>
  <c r="D32" i="13"/>
  <c r="D61" i="13"/>
  <c r="F12" i="13" l="1"/>
  <c r="G12" i="13" s="1"/>
  <c r="D52" i="13"/>
  <c r="D62" i="13"/>
  <c r="D42" i="13"/>
  <c r="D33" i="13"/>
  <c r="E12" i="13" l="1"/>
  <c r="J8" i="13"/>
  <c r="D53" i="13"/>
  <c r="D43" i="13"/>
  <c r="D63" i="13"/>
  <c r="K8" i="13" l="1"/>
  <c r="F13" i="13"/>
  <c r="G13" i="13" s="1"/>
  <c r="E13" i="13" s="1"/>
  <c r="F14" i="13" l="1"/>
  <c r="G14" i="13" s="1"/>
  <c r="E14" i="13" l="1"/>
  <c r="J9" i="13"/>
  <c r="K9" i="13" l="1"/>
  <c r="F15" i="13"/>
  <c r="G15" i="13" s="1"/>
  <c r="E15" i="13" s="1"/>
  <c r="F16" i="13" s="1"/>
  <c r="G16" i="13" s="1"/>
  <c r="E16" i="13" l="1"/>
  <c r="J10" i="13"/>
  <c r="K10" i="13" s="1"/>
  <c r="F17" i="13" l="1"/>
  <c r="G17" i="13" s="1"/>
  <c r="E17" i="13" s="1"/>
  <c r="F18" i="13" s="1"/>
  <c r="G18" i="13" s="1"/>
  <c r="E18" i="13" l="1"/>
  <c r="J11" i="13"/>
  <c r="K11" i="13" s="1"/>
  <c r="F19" i="13" l="1"/>
  <c r="G19" i="13" s="1"/>
  <c r="E19" i="13" s="1"/>
  <c r="F20" i="13" s="1"/>
  <c r="G20" i="13" s="1"/>
  <c r="E20" i="13" l="1"/>
  <c r="F21" i="13" s="1"/>
  <c r="G21" i="13" s="1"/>
  <c r="E21" i="13" s="1"/>
  <c r="F22" i="13" s="1"/>
  <c r="G22" i="13" s="1"/>
  <c r="J12" i="13"/>
  <c r="K12" i="13" s="1"/>
  <c r="E22" i="13" l="1"/>
  <c r="F23" i="13" s="1"/>
  <c r="G23" i="13" s="1"/>
  <c r="E23" i="13" s="1"/>
  <c r="F24" i="13" s="1"/>
  <c r="G24" i="13" s="1"/>
  <c r="J13" i="13"/>
  <c r="K13" i="13" s="1"/>
  <c r="E24" i="13" l="1"/>
  <c r="F25" i="13" s="1"/>
  <c r="G25" i="13" s="1"/>
  <c r="E25" i="13" s="1"/>
  <c r="F26" i="13" s="1"/>
  <c r="G26" i="13" s="1"/>
  <c r="J14" i="13"/>
  <c r="K14" i="13" s="1"/>
  <c r="E26" i="13" l="1"/>
  <c r="F27" i="13" s="1"/>
  <c r="G27" i="13" s="1"/>
  <c r="E27" i="13" s="1"/>
  <c r="F28" i="13" s="1"/>
  <c r="G28" i="13" s="1"/>
  <c r="J15" i="13"/>
  <c r="K15" i="13" s="1"/>
  <c r="E28" i="13" l="1"/>
  <c r="F29" i="13" s="1"/>
  <c r="G29" i="13" s="1"/>
  <c r="E29" i="13" s="1"/>
  <c r="F30" i="13" s="1"/>
  <c r="G30" i="13" s="1"/>
  <c r="J16" i="13"/>
  <c r="K16" i="13" s="1"/>
  <c r="E30" i="13" l="1"/>
  <c r="F31" i="13" s="1"/>
  <c r="G31" i="13" s="1"/>
  <c r="E31" i="13" s="1"/>
  <c r="F32" i="13" s="1"/>
  <c r="G32" i="13" s="1"/>
  <c r="J17" i="13"/>
  <c r="K17" i="13" s="1"/>
  <c r="E32" i="13" l="1"/>
  <c r="F33" i="13" s="1"/>
  <c r="G33" i="13" s="1"/>
  <c r="E33" i="13" s="1"/>
  <c r="F34" i="13" s="1"/>
  <c r="G34" i="13" s="1"/>
  <c r="J18" i="13"/>
  <c r="K18" i="13" s="1"/>
  <c r="E34" i="13" l="1"/>
  <c r="F35" i="13" s="1"/>
  <c r="G35" i="13" s="1"/>
  <c r="E35" i="13" s="1"/>
  <c r="F36" i="13" s="1"/>
  <c r="G36" i="13" s="1"/>
  <c r="J19" i="13"/>
  <c r="K19" i="13" s="1"/>
  <c r="E36" i="13" l="1"/>
  <c r="F37" i="13" s="1"/>
  <c r="G37" i="13" s="1"/>
  <c r="E37" i="13" s="1"/>
  <c r="F38" i="13" s="1"/>
  <c r="G38" i="13" s="1"/>
  <c r="J20" i="13"/>
  <c r="K20" i="13" s="1"/>
  <c r="E38" i="13" l="1"/>
  <c r="F39" i="13" s="1"/>
  <c r="G39" i="13" s="1"/>
  <c r="E39" i="13" s="1"/>
  <c r="F40" i="13" s="1"/>
  <c r="G40" i="13" s="1"/>
  <c r="J21" i="13"/>
  <c r="K21" i="13" s="1"/>
  <c r="E40" i="13" l="1"/>
  <c r="F41" i="13" s="1"/>
  <c r="G41" i="13" s="1"/>
  <c r="E41" i="13" s="1"/>
  <c r="F42" i="13" s="1"/>
  <c r="G42" i="13" s="1"/>
  <c r="J22" i="13"/>
  <c r="K22" i="13" s="1"/>
  <c r="E42" i="13" l="1"/>
  <c r="F43" i="13" s="1"/>
  <c r="G43" i="13" s="1"/>
  <c r="E43" i="13" s="1"/>
  <c r="F44" i="13" s="1"/>
  <c r="G44" i="13" s="1"/>
  <c r="J23" i="13"/>
  <c r="K23" i="13" s="1"/>
  <c r="E44" i="13" l="1"/>
  <c r="F45" i="13" s="1"/>
  <c r="G45" i="13" s="1"/>
  <c r="E45" i="13" s="1"/>
  <c r="F46" i="13" s="1"/>
  <c r="G46" i="13" s="1"/>
  <c r="J24" i="13"/>
  <c r="K24" i="13" s="1"/>
  <c r="E46" i="13" l="1"/>
  <c r="F47" i="13" s="1"/>
  <c r="G47" i="13" s="1"/>
  <c r="E47" i="13" s="1"/>
  <c r="F48" i="13" s="1"/>
  <c r="G48" i="13" s="1"/>
  <c r="J25" i="13"/>
  <c r="K25" i="13" s="1"/>
  <c r="E48" i="13" l="1"/>
  <c r="F49" i="13" s="1"/>
  <c r="G49" i="13" s="1"/>
  <c r="E49" i="13" s="1"/>
  <c r="F50" i="13" s="1"/>
  <c r="G50" i="13" s="1"/>
  <c r="J26" i="13"/>
  <c r="K26" i="13" s="1"/>
  <c r="E50" i="13" l="1"/>
  <c r="F51" i="13" s="1"/>
  <c r="G51" i="13" s="1"/>
  <c r="E51" i="13" s="1"/>
  <c r="F52" i="13" s="1"/>
  <c r="G52" i="13" s="1"/>
  <c r="J27" i="13"/>
  <c r="K27" i="13" s="1"/>
  <c r="E52" i="13" l="1"/>
  <c r="F53" i="13" s="1"/>
  <c r="G53" i="13" s="1"/>
  <c r="E53" i="13" s="1"/>
  <c r="F54" i="13" s="1"/>
  <c r="G54" i="13" s="1"/>
  <c r="J28" i="13"/>
  <c r="K28" i="13" s="1"/>
  <c r="E54" i="13" l="1"/>
  <c r="F55" i="13" s="1"/>
  <c r="G55" i="13" s="1"/>
  <c r="E55" i="13" s="1"/>
  <c r="F56" i="13" s="1"/>
  <c r="G56" i="13" s="1"/>
  <c r="J29" i="13"/>
  <c r="K29" i="13" s="1"/>
  <c r="E56" i="13" l="1"/>
  <c r="F57" i="13" s="1"/>
  <c r="G57" i="13" s="1"/>
  <c r="E57" i="13" s="1"/>
  <c r="F58" i="13" s="1"/>
  <c r="G58" i="13" s="1"/>
  <c r="J30" i="13"/>
  <c r="K30" i="13" s="1"/>
  <c r="E58" i="13" l="1"/>
  <c r="F59" i="13" s="1"/>
  <c r="G59" i="13" s="1"/>
  <c r="E59" i="13" s="1"/>
  <c r="F60" i="13" s="1"/>
  <c r="G60" i="13" s="1"/>
  <c r="J31" i="13"/>
  <c r="K31" i="13" s="1"/>
  <c r="E60" i="13" l="1"/>
  <c r="F61" i="13" s="1"/>
  <c r="G61" i="13" s="1"/>
  <c r="E61" i="13" s="1"/>
  <c r="F62" i="13" s="1"/>
  <c r="G62" i="13" s="1"/>
  <c r="J32" i="13"/>
  <c r="K32" i="13" s="1"/>
  <c r="E62" i="13" l="1"/>
  <c r="F63" i="13" s="1"/>
  <c r="G63" i="13" s="1"/>
  <c r="E63" i="13" s="1"/>
  <c r="F64" i="13" s="1"/>
  <c r="G64" i="13" s="1"/>
  <c r="J33" i="13"/>
  <c r="K33" i="13" s="1"/>
  <c r="J34" i="13" l="1"/>
  <c r="O4" i="12" s="1" a="1"/>
  <c r="E64" i="13"/>
  <c r="O4" i="12" l="1"/>
  <c r="O10" i="12"/>
  <c r="O14" i="12"/>
  <c r="O25" i="12"/>
  <c r="O20" i="12"/>
  <c r="O17" i="12"/>
  <c r="O29" i="12"/>
  <c r="O9" i="12"/>
  <c r="O12" i="12"/>
  <c r="O33" i="12"/>
  <c r="O32" i="12"/>
  <c r="O21" i="12"/>
  <c r="O24" i="12"/>
  <c r="O23" i="12"/>
  <c r="O7" i="12"/>
  <c r="O22" i="12"/>
  <c r="O16" i="12"/>
  <c r="O13" i="12"/>
  <c r="O8" i="12"/>
  <c r="O26" i="12"/>
  <c r="O19" i="12"/>
  <c r="O6" i="12"/>
  <c r="O11" i="12"/>
  <c r="O31" i="12"/>
  <c r="O5" i="12"/>
  <c r="O15" i="12"/>
  <c r="O27" i="12"/>
  <c r="O30" i="12"/>
  <c r="O18" i="12"/>
  <c r="O28" i="12"/>
  <c r="K34" i="13"/>
  <c r="O34" i="12" l="1"/>
  <c r="O35" i="12" l="1"/>
  <c r="O36" i="12" l="1"/>
  <c r="D7" i="8"/>
  <c r="G5" i="8"/>
  <c r="E5" i="8" s="1"/>
  <c r="D35" i="8"/>
  <c r="D19" i="8"/>
  <c r="D11" i="8"/>
  <c r="O37" i="12" l="1"/>
  <c r="D9" i="8"/>
  <c r="D15" i="8"/>
  <c r="D16" i="8" s="1"/>
  <c r="D17" i="8" s="1"/>
  <c r="D23" i="8"/>
  <c r="D21" i="8"/>
  <c r="F6" i="8"/>
  <c r="G6" i="8" s="1"/>
  <c r="D13" i="8"/>
  <c r="D45" i="8"/>
  <c r="D46" i="8" s="1"/>
  <c r="D47" i="8" s="1"/>
  <c r="D48" i="8" s="1"/>
  <c r="D49" i="8" s="1"/>
  <c r="D25" i="8"/>
  <c r="D36" i="8"/>
  <c r="D55" i="8"/>
  <c r="O38" i="12" l="1"/>
  <c r="D26" i="8"/>
  <c r="E6" i="8"/>
  <c r="J5" i="8"/>
  <c r="D56" i="8"/>
  <c r="D37" i="8"/>
  <c r="D50" i="8"/>
  <c r="O39" i="12" l="1"/>
  <c r="K5" i="8"/>
  <c r="D38" i="8"/>
  <c r="D51" i="8"/>
  <c r="F7" i="8"/>
  <c r="G7" i="8" s="1"/>
  <c r="E7" i="8" s="1"/>
  <c r="D27" i="8"/>
  <c r="D57" i="8"/>
  <c r="O40" i="12" l="1"/>
  <c r="D58" i="8"/>
  <c r="D28" i="8"/>
  <c r="D39" i="8"/>
  <c r="F8" i="8"/>
  <c r="G8" i="8" s="1"/>
  <c r="D52" i="8"/>
  <c r="O41" i="12" l="1"/>
  <c r="D53" i="8"/>
  <c r="E8" i="8"/>
  <c r="J6" i="8"/>
  <c r="D59" i="8"/>
  <c r="D40" i="8"/>
  <c r="D29" i="8"/>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O83" i="1"/>
  <c r="R83" i="1"/>
  <c r="O84" i="1"/>
  <c r="R84" i="1"/>
  <c r="O85" i="1"/>
  <c r="R85" i="1"/>
  <c r="O86" i="1"/>
  <c r="R86" i="1"/>
  <c r="O87" i="1"/>
  <c r="R87" i="1"/>
  <c r="O88" i="1"/>
  <c r="R88" i="1"/>
  <c r="O89" i="1"/>
  <c r="R89" i="1"/>
  <c r="O90" i="1"/>
  <c r="R90" i="1"/>
  <c r="O91" i="1"/>
  <c r="R91" i="1"/>
  <c r="O92" i="1"/>
  <c r="R92" i="1"/>
  <c r="O93" i="1"/>
  <c r="R93" i="1"/>
  <c r="O94" i="1"/>
  <c r="R94" i="1"/>
  <c r="O95" i="1"/>
  <c r="R95" i="1"/>
  <c r="O96" i="1"/>
  <c r="R96" i="1"/>
  <c r="O97" i="1"/>
  <c r="R97" i="1"/>
  <c r="O98" i="1"/>
  <c r="R98" i="1"/>
  <c r="O99" i="1"/>
  <c r="R99" i="1"/>
  <c r="O100" i="1"/>
  <c r="R100" i="1"/>
  <c r="O101" i="1"/>
  <c r="R101" i="1"/>
  <c r="O102" i="1"/>
  <c r="R102" i="1"/>
  <c r="O103" i="1"/>
  <c r="R103" i="1"/>
  <c r="F30" i="5"/>
  <c r="P64" i="8" s="1"/>
  <c r="F29" i="5"/>
  <c r="P54" i="8" s="1"/>
  <c r="F28" i="5"/>
  <c r="P44" i="8" s="1"/>
  <c r="F27" i="5"/>
  <c r="P34" i="8" s="1"/>
  <c r="F26" i="5"/>
  <c r="P24" i="8" s="1"/>
  <c r="F25" i="5"/>
  <c r="P22" i="8" s="1"/>
  <c r="F24" i="5"/>
  <c r="P20" i="8" s="1"/>
  <c r="F23" i="5"/>
  <c r="P18" i="8" s="1"/>
  <c r="F22" i="5"/>
  <c r="P14" i="8" s="1"/>
  <c r="F21" i="5"/>
  <c r="P12" i="8" s="1"/>
  <c r="F20" i="5"/>
  <c r="P10" i="8" s="1"/>
  <c r="F19" i="5"/>
  <c r="P8" i="8" s="1"/>
  <c r="F18" i="5"/>
  <c r="P6" i="8" s="1"/>
  <c r="K16" i="5"/>
  <c r="O42" i="12" l="1"/>
  <c r="P19" i="8"/>
  <c r="P11" i="8"/>
  <c r="P7" i="8"/>
  <c r="S89" i="1"/>
  <c r="S85" i="1"/>
  <c r="S100" i="1"/>
  <c r="S98" i="1"/>
  <c r="S94" i="1"/>
  <c r="S101" i="1"/>
  <c r="S95" i="1"/>
  <c r="S102" i="1"/>
  <c r="T102" i="1" s="1"/>
  <c r="S90" i="1"/>
  <c r="T90" i="1" s="1"/>
  <c r="S97" i="1"/>
  <c r="S93" i="1"/>
  <c r="P13" i="8"/>
  <c r="P23" i="8"/>
  <c r="P45" i="8"/>
  <c r="P46" i="8" s="1"/>
  <c r="P47" i="8" s="1"/>
  <c r="P48" i="8" s="1"/>
  <c r="P49" i="8" s="1"/>
  <c r="P50" i="8" s="1"/>
  <c r="P51" i="8" s="1"/>
  <c r="P52" i="8" s="1"/>
  <c r="P55" i="8"/>
  <c r="P56" i="8" s="1"/>
  <c r="P57" i="8" s="1"/>
  <c r="P58" i="8" s="1"/>
  <c r="P59" i="8" s="1"/>
  <c r="P60" i="8" s="1"/>
  <c r="P61" i="8" s="1"/>
  <c r="P62" i="8" s="1"/>
  <c r="P63" i="8" s="1"/>
  <c r="P25" i="8"/>
  <c r="P26" i="8" s="1"/>
  <c r="P27" i="8" s="1"/>
  <c r="P28" i="8" s="1"/>
  <c r="P29" i="8" s="1"/>
  <c r="P30" i="8" s="1"/>
  <c r="P31" i="8" s="1"/>
  <c r="P32" i="8" s="1"/>
  <c r="P21" i="8"/>
  <c r="P35" i="8"/>
  <c r="P36" i="8" s="1"/>
  <c r="P37" i="8" s="1"/>
  <c r="P38" i="8" s="1"/>
  <c r="P39" i="8" s="1"/>
  <c r="P40" i="8" s="1"/>
  <c r="P41" i="8" s="1"/>
  <c r="P15" i="8"/>
  <c r="P16" i="8" s="1"/>
  <c r="P17" i="8" s="1"/>
  <c r="P9" i="8"/>
  <c r="P5" i="8"/>
  <c r="S5" i="8" s="1"/>
  <c r="Q5" i="8" s="1"/>
  <c r="R6" i="8" s="1"/>
  <c r="S6" i="8" s="1"/>
  <c r="K6" i="8"/>
  <c r="D30" i="8"/>
  <c r="D41" i="8"/>
  <c r="D60" i="8"/>
  <c r="F9" i="8"/>
  <c r="G9" i="8" s="1"/>
  <c r="E9" i="8" s="1"/>
  <c r="F10" i="8" s="1"/>
  <c r="G10" i="8" s="1"/>
  <c r="S91" i="1"/>
  <c r="S84" i="1"/>
  <c r="S103" i="1"/>
  <c r="S96" i="1"/>
  <c r="S87" i="1"/>
  <c r="S99" i="1"/>
  <c r="S86" i="1"/>
  <c r="S83" i="1"/>
  <c r="S92" i="1"/>
  <c r="T92" i="1" s="1"/>
  <c r="S88" i="1"/>
  <c r="T99" i="1" l="1"/>
  <c r="T88" i="1"/>
  <c r="T84" i="1"/>
  <c r="T98" i="1"/>
  <c r="T86" i="1"/>
  <c r="T103" i="1"/>
  <c r="T94" i="1"/>
  <c r="T89" i="1"/>
  <c r="O43" i="12"/>
  <c r="T87" i="1"/>
  <c r="T91" i="1"/>
  <c r="T93" i="1"/>
  <c r="T95" i="1"/>
  <c r="T100" i="1"/>
  <c r="T96" i="1"/>
  <c r="T97" i="1"/>
  <c r="T101" i="1"/>
  <c r="T85" i="1"/>
  <c r="Q6" i="8"/>
  <c r="V5" i="8"/>
  <c r="P33" i="8"/>
  <c r="D31" i="8"/>
  <c r="E10" i="8"/>
  <c r="J7" i="8"/>
  <c r="D61" i="8"/>
  <c r="D42" i="8"/>
  <c r="P53" i="8"/>
  <c r="P42" i="8"/>
  <c r="F30" i="1"/>
  <c r="P64" i="3" s="1"/>
  <c r="F29" i="1"/>
  <c r="P54" i="3" s="1"/>
  <c r="F28" i="1"/>
  <c r="P44" i="3" s="1"/>
  <c r="F27" i="1"/>
  <c r="P34" i="3" s="1"/>
  <c r="F26" i="1"/>
  <c r="P24" i="3" s="1"/>
  <c r="F25" i="1"/>
  <c r="P22" i="3" s="1"/>
  <c r="F24" i="1"/>
  <c r="P20" i="3" s="1"/>
  <c r="F23" i="1"/>
  <c r="P18" i="3" s="1"/>
  <c r="F22" i="1"/>
  <c r="P14" i="3" s="1"/>
  <c r="F21" i="1"/>
  <c r="P12" i="3" s="1"/>
  <c r="F20" i="1"/>
  <c r="P10" i="3" s="1"/>
  <c r="F19" i="1"/>
  <c r="P8" i="3" s="1"/>
  <c r="F18" i="1"/>
  <c r="P6" i="3" s="1"/>
  <c r="O44" i="12" l="1"/>
  <c r="P5" i="3"/>
  <c r="S5" i="3" s="1"/>
  <c r="Q5" i="3" s="1"/>
  <c r="P15" i="3"/>
  <c r="P16" i="3" s="1"/>
  <c r="P17" i="3" s="1"/>
  <c r="P21" i="13"/>
  <c r="P45" i="3"/>
  <c r="P46" i="3" s="1"/>
  <c r="P47" i="3" s="1"/>
  <c r="P48" i="3" s="1"/>
  <c r="P49" i="3" s="1"/>
  <c r="P50" i="3" s="1"/>
  <c r="P51" i="3" s="1"/>
  <c r="P52" i="3" s="1"/>
  <c r="P53" i="3" s="1"/>
  <c r="R7" i="8"/>
  <c r="S7" i="8" s="1"/>
  <c r="Q7" i="8" s="1"/>
  <c r="W5" i="8"/>
  <c r="Z5" i="8" s="1"/>
  <c r="Y5" i="8"/>
  <c r="K7" i="8"/>
  <c r="P43" i="8"/>
  <c r="D62" i="8"/>
  <c r="F11" i="8"/>
  <c r="G11" i="8" s="1"/>
  <c r="E11" i="8" s="1"/>
  <c r="D32" i="8"/>
  <c r="D43" i="8"/>
  <c r="K16" i="1"/>
  <c r="O45" i="12" l="1"/>
  <c r="P11" i="3"/>
  <c r="P55" i="3"/>
  <c r="P56" i="3" s="1"/>
  <c r="P57" i="3" s="1"/>
  <c r="P58" i="3" s="1"/>
  <c r="P59" i="3" s="1"/>
  <c r="P60" i="3" s="1"/>
  <c r="P61" i="3" s="1"/>
  <c r="P62" i="3" s="1"/>
  <c r="P63" i="3" s="1"/>
  <c r="P9" i="3"/>
  <c r="P13" i="3"/>
  <c r="P21" i="3"/>
  <c r="P35" i="3"/>
  <c r="P36" i="3" s="1"/>
  <c r="P37" i="3" s="1"/>
  <c r="P38" i="3" s="1"/>
  <c r="P39" i="3" s="1"/>
  <c r="P40" i="3" s="1"/>
  <c r="P41" i="3" s="1"/>
  <c r="P42" i="3" s="1"/>
  <c r="P43" i="3" s="1"/>
  <c r="P23" i="3"/>
  <c r="R6" i="3"/>
  <c r="S6" i="3" s="1"/>
  <c r="V5" i="3" s="1"/>
  <c r="P25" i="3"/>
  <c r="P26" i="3" s="1"/>
  <c r="P27" i="3" s="1"/>
  <c r="P28" i="3" s="1"/>
  <c r="P29" i="3" s="1"/>
  <c r="P30" i="3" s="1"/>
  <c r="P31" i="3" s="1"/>
  <c r="P32" i="3" s="1"/>
  <c r="P33" i="3" s="1"/>
  <c r="P19" i="3"/>
  <c r="P7" i="3"/>
  <c r="P13" i="13"/>
  <c r="P25" i="13"/>
  <c r="P26" i="13" s="1"/>
  <c r="P27" i="13" s="1"/>
  <c r="P28" i="13" s="1"/>
  <c r="P29" i="13" s="1"/>
  <c r="P30" i="13" s="1"/>
  <c r="P31" i="13" s="1"/>
  <c r="P32" i="13" s="1"/>
  <c r="P33" i="13" s="1"/>
  <c r="P7" i="13"/>
  <c r="S5" i="13"/>
  <c r="Q5" i="13" s="1"/>
  <c r="P35" i="13"/>
  <c r="P36" i="13" s="1"/>
  <c r="P37" i="13" s="1"/>
  <c r="P38" i="13" s="1"/>
  <c r="P39" i="13" s="1"/>
  <c r="P40" i="13" s="1"/>
  <c r="P41" i="13" s="1"/>
  <c r="P42" i="13" s="1"/>
  <c r="P43" i="13" s="1"/>
  <c r="P9" i="13"/>
  <c r="P11" i="13"/>
  <c r="P23" i="13"/>
  <c r="P15" i="13"/>
  <c r="P19" i="13"/>
  <c r="P55" i="13"/>
  <c r="P56" i="13" s="1"/>
  <c r="P57" i="13" s="1"/>
  <c r="P58" i="13" s="1"/>
  <c r="P59" i="13" s="1"/>
  <c r="P60" i="13" s="1"/>
  <c r="P61" i="13" s="1"/>
  <c r="P62" i="13" s="1"/>
  <c r="P63" i="13" s="1"/>
  <c r="P45" i="13"/>
  <c r="P46" i="13" s="1"/>
  <c r="P47" i="13" s="1"/>
  <c r="P48" i="13" s="1"/>
  <c r="P49" i="13" s="1"/>
  <c r="P50" i="13" s="1"/>
  <c r="P51" i="13" s="1"/>
  <c r="P52" i="13" s="1"/>
  <c r="P53" i="13" s="1"/>
  <c r="R8" i="8"/>
  <c r="S8" i="8" s="1"/>
  <c r="D33" i="8"/>
  <c r="F12" i="8"/>
  <c r="G12" i="8" s="1"/>
  <c r="D63" i="8"/>
  <c r="G5" i="3"/>
  <c r="E5" i="3" s="1"/>
  <c r="O46" i="12" l="1"/>
  <c r="Q6" i="3"/>
  <c r="R7" i="3" s="1"/>
  <c r="S7" i="3" s="1"/>
  <c r="Q7" i="3" s="1"/>
  <c r="R8" i="3" s="1"/>
  <c r="S8" i="3" s="1"/>
  <c r="V6" i="3" s="1"/>
  <c r="P16" i="13"/>
  <c r="P17" i="13" s="1"/>
  <c r="R6" i="13"/>
  <c r="S6" i="13" s="1"/>
  <c r="V6" i="8"/>
  <c r="Q8" i="8"/>
  <c r="E12" i="8"/>
  <c r="J8" i="8"/>
  <c r="W5" i="3"/>
  <c r="D23" i="3"/>
  <c r="D11" i="3"/>
  <c r="D13" i="3"/>
  <c r="D15" i="3"/>
  <c r="D16" i="3" s="1"/>
  <c r="D17" i="3" s="1"/>
  <c r="D21" i="3"/>
  <c r="D7" i="3"/>
  <c r="D45" i="3"/>
  <c r="D46" i="3" s="1"/>
  <c r="D47" i="3" s="1"/>
  <c r="D48" i="3" s="1"/>
  <c r="D49" i="3" s="1"/>
  <c r="D50" i="3" s="1"/>
  <c r="D51" i="3" s="1"/>
  <c r="D52" i="3" s="1"/>
  <c r="D53" i="3" s="1"/>
  <c r="D25" i="3"/>
  <c r="D26" i="3" s="1"/>
  <c r="D27" i="3" s="1"/>
  <c r="D28" i="3" s="1"/>
  <c r="D29" i="3" s="1"/>
  <c r="D30" i="3" s="1"/>
  <c r="D31" i="3" s="1"/>
  <c r="D32" i="3" s="1"/>
  <c r="D33" i="3" s="1"/>
  <c r="D19" i="3"/>
  <c r="D55" i="3"/>
  <c r="D56" i="3" s="1"/>
  <c r="D57" i="3" s="1"/>
  <c r="D58" i="3" s="1"/>
  <c r="D59" i="3" s="1"/>
  <c r="D60" i="3" s="1"/>
  <c r="D61" i="3" s="1"/>
  <c r="D62" i="3" s="1"/>
  <c r="D63" i="3" s="1"/>
  <c r="F6" i="3"/>
  <c r="G6" i="3" s="1"/>
  <c r="J5" i="3" s="1"/>
  <c r="D9" i="3"/>
  <c r="D35" i="3"/>
  <c r="D36" i="3" s="1"/>
  <c r="D37" i="3" s="1"/>
  <c r="D38" i="3" s="1"/>
  <c r="D39" i="3" s="1"/>
  <c r="D40" i="3" s="1"/>
  <c r="D41" i="3" s="1"/>
  <c r="D42" i="3" s="1"/>
  <c r="D43" i="3" s="1"/>
  <c r="O47" i="12" l="1"/>
  <c r="Q8" i="3"/>
  <c r="R9" i="3" s="1"/>
  <c r="S9" i="3" s="1"/>
  <c r="Q9" i="3" s="1"/>
  <c r="V5" i="13"/>
  <c r="Q6" i="13"/>
  <c r="W6" i="8"/>
  <c r="Z6" i="8" s="1"/>
  <c r="Y6" i="8"/>
  <c r="R9" i="8"/>
  <c r="S9" i="8" s="1"/>
  <c r="Q9" i="8" s="1"/>
  <c r="K8" i="8"/>
  <c r="F13" i="8"/>
  <c r="G13" i="8" s="1"/>
  <c r="E13" i="8" s="1"/>
  <c r="W6" i="3"/>
  <c r="E6" i="3"/>
  <c r="Y5" i="3"/>
  <c r="O48" i="12" l="1"/>
  <c r="R10" i="3"/>
  <c r="S10" i="3" s="1"/>
  <c r="V7" i="3" s="1"/>
  <c r="R7" i="13"/>
  <c r="S7" i="13" s="1"/>
  <c r="Q7" i="13" s="1"/>
  <c r="W5" i="13"/>
  <c r="Z5" i="13" s="1"/>
  <c r="Y5" i="13"/>
  <c r="R10" i="8"/>
  <c r="S10" i="8" s="1"/>
  <c r="F14" i="8"/>
  <c r="G14" i="8" s="1"/>
  <c r="K5" i="3"/>
  <c r="F7" i="3"/>
  <c r="G7" i="3" s="1"/>
  <c r="E7" i="3" s="1"/>
  <c r="F8" i="3" s="1"/>
  <c r="G8" i="3" s="1"/>
  <c r="J6" i="3" s="1"/>
  <c r="O49" i="12" l="1"/>
  <c r="Q10" i="3"/>
  <c r="R11" i="3" s="1"/>
  <c r="S11" i="3" s="1"/>
  <c r="Q11" i="3" s="1"/>
  <c r="R12" i="3" s="1"/>
  <c r="S12" i="3" s="1"/>
  <c r="V8" i="3" s="1"/>
  <c r="R8" i="13"/>
  <c r="S8" i="13" s="1"/>
  <c r="V7" i="8"/>
  <c r="Q10" i="8"/>
  <c r="E14" i="8"/>
  <c r="J9" i="8"/>
  <c r="Z5" i="3"/>
  <c r="W7" i="3"/>
  <c r="E8" i="3"/>
  <c r="Y6" i="3"/>
  <c r="O50" i="12" l="1"/>
  <c r="Q12" i="3"/>
  <c r="R13" i="3" s="1"/>
  <c r="S13" i="3" s="1"/>
  <c r="Q13" i="3" s="1"/>
  <c r="R14" i="3" s="1"/>
  <c r="S14" i="3" s="1"/>
  <c r="V9" i="3" s="1"/>
  <c r="Q8" i="13"/>
  <c r="V6" i="13"/>
  <c r="R11" i="8"/>
  <c r="S11" i="8" s="1"/>
  <c r="Q11" i="8" s="1"/>
  <c r="R12" i="8" s="1"/>
  <c r="S12" i="8" s="1"/>
  <c r="W7" i="8"/>
  <c r="Z7" i="8" s="1"/>
  <c r="Y7" i="8"/>
  <c r="K9" i="8"/>
  <c r="F15" i="8"/>
  <c r="G15" i="8" s="1"/>
  <c r="E15" i="8" s="1"/>
  <c r="F16" i="8" s="1"/>
  <c r="G16" i="8" s="1"/>
  <c r="W8" i="3"/>
  <c r="K6" i="3"/>
  <c r="F9" i="3"/>
  <c r="G9" i="3" s="1"/>
  <c r="E9" i="3" s="1"/>
  <c r="O51" i="12" l="1"/>
  <c r="W6" i="13"/>
  <c r="Z6" i="13" s="1"/>
  <c r="Y6" i="13"/>
  <c r="R9" i="13"/>
  <c r="S9" i="13" s="1"/>
  <c r="Q9" i="13" s="1"/>
  <c r="R10" i="13" s="1"/>
  <c r="S10" i="13" s="1"/>
  <c r="Q12" i="8"/>
  <c r="R13" i="8" s="1"/>
  <c r="S13" i="8" s="1"/>
  <c r="Q13" i="8" s="1"/>
  <c r="V8" i="8"/>
  <c r="E16" i="8"/>
  <c r="J10" i="8"/>
  <c r="K10" i="8" s="1"/>
  <c r="Z6" i="3"/>
  <c r="Q14" i="3"/>
  <c r="R15" i="3" s="1"/>
  <c r="S15" i="3" s="1"/>
  <c r="Q15" i="3" s="1"/>
  <c r="R16" i="3" s="1"/>
  <c r="S16" i="3" s="1"/>
  <c r="V10" i="3" s="1"/>
  <c r="F10" i="3"/>
  <c r="G10" i="3" s="1"/>
  <c r="J7" i="3" s="1"/>
  <c r="O52" i="12" l="1"/>
  <c r="O53" i="12" s="1"/>
  <c r="Q10" i="13"/>
  <c r="V7" i="13"/>
  <c r="R14" i="8"/>
  <c r="S14" i="8" s="1"/>
  <c r="W8" i="8"/>
  <c r="Z8" i="8" s="1"/>
  <c r="Y8" i="8"/>
  <c r="F17" i="8"/>
  <c r="G17" i="8" s="1"/>
  <c r="E17" i="8" s="1"/>
  <c r="F18" i="8" s="1"/>
  <c r="G18" i="8" s="1"/>
  <c r="W9" i="3"/>
  <c r="Q16" i="3"/>
  <c r="R17" i="3" s="1"/>
  <c r="S17" i="3" s="1"/>
  <c r="Q17" i="3" s="1"/>
  <c r="R18" i="3" s="1"/>
  <c r="S18" i="3" s="1"/>
  <c r="V11" i="3" s="1"/>
  <c r="E10" i="3"/>
  <c r="Y7" i="3"/>
  <c r="O54" i="12" l="1"/>
  <c r="Y7" i="13"/>
  <c r="W7" i="13"/>
  <c r="Z7" i="13" s="1"/>
  <c r="R11" i="13"/>
  <c r="S11" i="13" s="1"/>
  <c r="Q11" i="13" s="1"/>
  <c r="R12" i="13" s="1"/>
  <c r="S12" i="13" s="1"/>
  <c r="V9" i="8"/>
  <c r="Q14" i="8"/>
  <c r="E18" i="8"/>
  <c r="J11" i="8"/>
  <c r="K11" i="8" s="1"/>
  <c r="W10" i="3"/>
  <c r="K7" i="3"/>
  <c r="Q18" i="3"/>
  <c r="R19" i="3" s="1"/>
  <c r="S19" i="3" s="1"/>
  <c r="Q19" i="3" s="1"/>
  <c r="R20" i="3" s="1"/>
  <c r="S20" i="3" s="1"/>
  <c r="V12" i="3" s="1"/>
  <c r="F11" i="3"/>
  <c r="G11" i="3" s="1"/>
  <c r="E11" i="3" s="1"/>
  <c r="O55" i="12" l="1"/>
  <c r="Q12" i="13"/>
  <c r="R13" i="13" s="1"/>
  <c r="S13" i="13" s="1"/>
  <c r="Q13" i="13" s="1"/>
  <c r="R14" i="13" s="1"/>
  <c r="S14" i="13" s="1"/>
  <c r="V8" i="13"/>
  <c r="Y9" i="8"/>
  <c r="W9" i="8"/>
  <c r="Z9" i="8" s="1"/>
  <c r="R15" i="8"/>
  <c r="S15" i="8" s="1"/>
  <c r="Q15" i="8" s="1"/>
  <c r="F19" i="8"/>
  <c r="G19" i="8" s="1"/>
  <c r="E19" i="8" s="1"/>
  <c r="F20" i="8" s="1"/>
  <c r="G20" i="8" s="1"/>
  <c r="Z7" i="3"/>
  <c r="W11" i="3"/>
  <c r="Q20" i="3"/>
  <c r="R21" i="3" s="1"/>
  <c r="S21" i="3" s="1"/>
  <c r="Q21" i="3" s="1"/>
  <c r="R22" i="3" s="1"/>
  <c r="S22" i="3" s="1"/>
  <c r="V13" i="3" s="1"/>
  <c r="F12" i="3"/>
  <c r="G12" i="3" s="1"/>
  <c r="J8" i="3" s="1"/>
  <c r="Y8" i="3" s="1"/>
  <c r="O56" i="12" l="1"/>
  <c r="W8" i="13"/>
  <c r="Z8" i="13" s="1"/>
  <c r="Y8" i="13"/>
  <c r="Q14" i="13"/>
  <c r="R15" i="13" s="1"/>
  <c r="S15" i="13" s="1"/>
  <c r="Q15" i="13" s="1"/>
  <c r="R16" i="13" s="1"/>
  <c r="S16" i="13" s="1"/>
  <c r="V9" i="13"/>
  <c r="R16" i="8"/>
  <c r="S16" i="8" s="1"/>
  <c r="E20" i="8"/>
  <c r="F21" i="8" s="1"/>
  <c r="G21" i="8" s="1"/>
  <c r="E21" i="8" s="1"/>
  <c r="F22" i="8" s="1"/>
  <c r="G22" i="8" s="1"/>
  <c r="J12" i="8"/>
  <c r="K12" i="8" s="1"/>
  <c r="W12" i="3"/>
  <c r="Q22" i="3"/>
  <c r="R23" i="3" s="1"/>
  <c r="S23" i="3" s="1"/>
  <c r="Q23" i="3" s="1"/>
  <c r="R24" i="3" s="1"/>
  <c r="S24" i="3" s="1"/>
  <c r="V14" i="3" s="1"/>
  <c r="E12" i="3"/>
  <c r="O57" i="12" l="1"/>
  <c r="W9" i="13"/>
  <c r="Z9" i="13" s="1"/>
  <c r="Y9" i="13"/>
  <c r="Q16" i="13"/>
  <c r="R17" i="13" s="1"/>
  <c r="S17" i="13" s="1"/>
  <c r="Q17" i="13" s="1"/>
  <c r="R18" i="13" s="1"/>
  <c r="S18" i="13" s="1"/>
  <c r="V10" i="13"/>
  <c r="V10" i="8"/>
  <c r="Q16" i="8"/>
  <c r="E22" i="8"/>
  <c r="F23" i="8" s="1"/>
  <c r="G23" i="8" s="1"/>
  <c r="E23" i="8" s="1"/>
  <c r="F24" i="8" s="1"/>
  <c r="G24" i="8" s="1"/>
  <c r="J13" i="8"/>
  <c r="K13" i="8" s="1"/>
  <c r="W13" i="3"/>
  <c r="K8" i="3"/>
  <c r="Q24" i="3"/>
  <c r="R25" i="3" s="1"/>
  <c r="S25" i="3" s="1"/>
  <c r="Q25" i="3" s="1"/>
  <c r="R26" i="3" s="1"/>
  <c r="S26" i="3" s="1"/>
  <c r="V15" i="3" s="1"/>
  <c r="F13" i="3"/>
  <c r="G13" i="3" s="1"/>
  <c r="E13" i="3" s="1"/>
  <c r="F14" i="3" s="1"/>
  <c r="G14" i="3" s="1"/>
  <c r="J9" i="3" s="1"/>
  <c r="O58" i="12" l="1"/>
  <c r="V11" i="13"/>
  <c r="Q18" i="13"/>
  <c r="R19" i="13" s="1"/>
  <c r="S19" i="13" s="1"/>
  <c r="Q19" i="13" s="1"/>
  <c r="R20" i="13" s="1"/>
  <c r="S20" i="13" s="1"/>
  <c r="Y10" i="13"/>
  <c r="W10" i="13"/>
  <c r="Z10" i="13" s="1"/>
  <c r="Y10" i="8"/>
  <c r="W10" i="8"/>
  <c r="Z10" i="8" s="1"/>
  <c r="R17" i="8"/>
  <c r="S17" i="8" s="1"/>
  <c r="Q17" i="8" s="1"/>
  <c r="R18" i="8" s="1"/>
  <c r="S18" i="8" s="1"/>
  <c r="E24" i="8"/>
  <c r="F25" i="8" s="1"/>
  <c r="G25" i="8" s="1"/>
  <c r="E25" i="8" s="1"/>
  <c r="F26" i="8" s="1"/>
  <c r="G26" i="8" s="1"/>
  <c r="J14" i="8"/>
  <c r="K14" i="8" s="1"/>
  <c r="Z8" i="3"/>
  <c r="W14" i="3"/>
  <c r="Q26" i="3"/>
  <c r="R27" i="3" s="1"/>
  <c r="S27" i="3" s="1"/>
  <c r="Q27" i="3" s="1"/>
  <c r="R28" i="3" s="1"/>
  <c r="S28" i="3" s="1"/>
  <c r="V16" i="3" s="1"/>
  <c r="E14" i="3"/>
  <c r="F15" i="3" s="1"/>
  <c r="G15" i="3" s="1"/>
  <c r="E15" i="3" s="1"/>
  <c r="F16" i="3" s="1"/>
  <c r="G16" i="3" s="1"/>
  <c r="J10" i="3" s="1"/>
  <c r="Y9" i="3"/>
  <c r="O59" i="12" l="1"/>
  <c r="Q20" i="13"/>
  <c r="R21" i="13" s="1"/>
  <c r="S21" i="13" s="1"/>
  <c r="Q21" i="13" s="1"/>
  <c r="R22" i="13" s="1"/>
  <c r="S22" i="13" s="1"/>
  <c r="V12" i="13"/>
  <c r="Y11" i="13"/>
  <c r="W11" i="13"/>
  <c r="Z11" i="13" s="1"/>
  <c r="V11" i="8"/>
  <c r="Q18" i="8"/>
  <c r="R19" i="8" s="1"/>
  <c r="S19" i="8" s="1"/>
  <c r="Q19" i="8" s="1"/>
  <c r="R20" i="8" s="1"/>
  <c r="S20" i="8" s="1"/>
  <c r="E26" i="8"/>
  <c r="F27" i="8" s="1"/>
  <c r="G27" i="8" s="1"/>
  <c r="E27" i="8" s="1"/>
  <c r="F28" i="8" s="1"/>
  <c r="G28" i="8" s="1"/>
  <c r="J15" i="8"/>
  <c r="K15" i="8" s="1"/>
  <c r="W15" i="3"/>
  <c r="K9" i="3"/>
  <c r="Q28" i="3"/>
  <c r="R29" i="3" s="1"/>
  <c r="S29" i="3" s="1"/>
  <c r="Q29" i="3" s="1"/>
  <c r="R30" i="3" s="1"/>
  <c r="S30" i="3" s="1"/>
  <c r="V17" i="3" s="1"/>
  <c r="E16" i="3"/>
  <c r="F17" i="3" s="1"/>
  <c r="G17" i="3" s="1"/>
  <c r="E17" i="3" s="1"/>
  <c r="F18" i="3" s="1"/>
  <c r="G18" i="3" s="1"/>
  <c r="J11" i="3" s="1"/>
  <c r="O60" i="12" l="1"/>
  <c r="Y12" i="13"/>
  <c r="W12" i="13"/>
  <c r="Z12" i="13" s="1"/>
  <c r="Q22" i="13"/>
  <c r="R23" i="13" s="1"/>
  <c r="S23" i="13" s="1"/>
  <c r="Q23" i="13" s="1"/>
  <c r="R24" i="13" s="1"/>
  <c r="S24" i="13" s="1"/>
  <c r="V13" i="13"/>
  <c r="Q20" i="8"/>
  <c r="R21" i="8" s="1"/>
  <c r="S21" i="8" s="1"/>
  <c r="Q21" i="8" s="1"/>
  <c r="R22" i="8" s="1"/>
  <c r="S22" i="8" s="1"/>
  <c r="V12" i="8"/>
  <c r="Y11" i="8"/>
  <c r="W11" i="8"/>
  <c r="Z11" i="8" s="1"/>
  <c r="E28" i="8"/>
  <c r="F29" i="8" s="1"/>
  <c r="G29" i="8" s="1"/>
  <c r="E29" i="8" s="1"/>
  <c r="F30" i="8" s="1"/>
  <c r="G30" i="8" s="1"/>
  <c r="J16" i="8"/>
  <c r="K16" i="8" s="1"/>
  <c r="K10" i="3"/>
  <c r="Z10" i="3" s="1"/>
  <c r="Y10" i="3"/>
  <c r="Z9" i="3"/>
  <c r="W16" i="3"/>
  <c r="Q30" i="3"/>
  <c r="R31" i="3" s="1"/>
  <c r="S31" i="3" s="1"/>
  <c r="Q31" i="3" s="1"/>
  <c r="R32" i="3" s="1"/>
  <c r="S32" i="3" s="1"/>
  <c r="V18" i="3" s="1"/>
  <c r="E18" i="3"/>
  <c r="F19" i="3" s="1"/>
  <c r="G19" i="3" s="1"/>
  <c r="E19" i="3" s="1"/>
  <c r="F20" i="3" s="1"/>
  <c r="G20" i="3" s="1"/>
  <c r="J12" i="3" s="1"/>
  <c r="O61" i="12" l="1"/>
  <c r="Q24" i="13"/>
  <c r="R25" i="13" s="1"/>
  <c r="S25" i="13" s="1"/>
  <c r="Q25" i="13" s="1"/>
  <c r="R26" i="13" s="1"/>
  <c r="S26" i="13" s="1"/>
  <c r="V14" i="13"/>
  <c r="Y13" i="13"/>
  <c r="W13" i="13"/>
  <c r="Z13" i="13" s="1"/>
  <c r="Q22" i="8"/>
  <c r="R23" i="8" s="1"/>
  <c r="S23" i="8" s="1"/>
  <c r="Q23" i="8" s="1"/>
  <c r="R24" i="8" s="1"/>
  <c r="S24" i="8" s="1"/>
  <c r="V13" i="8"/>
  <c r="W12" i="8"/>
  <c r="Z12" i="8" s="1"/>
  <c r="Y12" i="8"/>
  <c r="E30" i="8"/>
  <c r="F31" i="8" s="1"/>
  <c r="G31" i="8" s="1"/>
  <c r="E31" i="8" s="1"/>
  <c r="F32" i="8" s="1"/>
  <c r="G32" i="8" s="1"/>
  <c r="J17" i="8"/>
  <c r="K17" i="8" s="1"/>
  <c r="K11" i="3"/>
  <c r="Z11" i="3" s="1"/>
  <c r="Y11" i="3"/>
  <c r="W17" i="3"/>
  <c r="Q32" i="3"/>
  <c r="R33" i="3" s="1"/>
  <c r="S33" i="3" s="1"/>
  <c r="Q33" i="3" s="1"/>
  <c r="R34" i="3" s="1"/>
  <c r="S34" i="3" s="1"/>
  <c r="V19" i="3" s="1"/>
  <c r="E20" i="3"/>
  <c r="F21" i="3" s="1"/>
  <c r="G21" i="3" s="1"/>
  <c r="E21" i="3" s="1"/>
  <c r="F22" i="3" s="1"/>
  <c r="G22" i="3" s="1"/>
  <c r="J13" i="3" s="1"/>
  <c r="O62" i="12" l="1"/>
  <c r="Y14" i="13"/>
  <c r="W14" i="13"/>
  <c r="Z14" i="13" s="1"/>
  <c r="Q26" i="13"/>
  <c r="R27" i="13" s="1"/>
  <c r="S27" i="13" s="1"/>
  <c r="Q27" i="13" s="1"/>
  <c r="R28" i="13" s="1"/>
  <c r="S28" i="13" s="1"/>
  <c r="V15" i="13"/>
  <c r="W13" i="8"/>
  <c r="Z13" i="8" s="1"/>
  <c r="Y13" i="8"/>
  <c r="Q24" i="8"/>
  <c r="R25" i="8" s="1"/>
  <c r="S25" i="8" s="1"/>
  <c r="Q25" i="8" s="1"/>
  <c r="R26" i="8" s="1"/>
  <c r="S26" i="8" s="1"/>
  <c r="V14" i="8"/>
  <c r="E32" i="8"/>
  <c r="F33" i="8" s="1"/>
  <c r="G33" i="8" s="1"/>
  <c r="E33" i="8" s="1"/>
  <c r="F34" i="8" s="1"/>
  <c r="G34" i="8" s="1"/>
  <c r="J18" i="8"/>
  <c r="K18" i="8" s="1"/>
  <c r="W18" i="3"/>
  <c r="K12" i="3"/>
  <c r="Z12" i="3" s="1"/>
  <c r="Y12" i="3"/>
  <c r="Q34" i="3"/>
  <c r="R35" i="3" s="1"/>
  <c r="S35" i="3" s="1"/>
  <c r="Q35" i="3" s="1"/>
  <c r="R36" i="3" s="1"/>
  <c r="S36" i="3" s="1"/>
  <c r="V20" i="3" s="1"/>
  <c r="E22" i="3"/>
  <c r="F23" i="3" s="1"/>
  <c r="G23" i="3" s="1"/>
  <c r="E23" i="3" s="1"/>
  <c r="F24" i="3" s="1"/>
  <c r="G24" i="3" s="1"/>
  <c r="J14" i="3" s="1"/>
  <c r="O63" i="12" l="1"/>
  <c r="Q28" i="13"/>
  <c r="R29" i="13" s="1"/>
  <c r="S29" i="13" s="1"/>
  <c r="Q29" i="13" s="1"/>
  <c r="R30" i="13" s="1"/>
  <c r="S30" i="13" s="1"/>
  <c r="V16" i="13"/>
  <c r="W15" i="13"/>
  <c r="Z15" i="13" s="1"/>
  <c r="Y15" i="13"/>
  <c r="V15" i="8"/>
  <c r="Q26" i="8"/>
  <c r="R27" i="8" s="1"/>
  <c r="S27" i="8" s="1"/>
  <c r="Q27" i="8" s="1"/>
  <c r="R28" i="8" s="1"/>
  <c r="S28" i="8" s="1"/>
  <c r="W14" i="8"/>
  <c r="Z14" i="8" s="1"/>
  <c r="Y14" i="8"/>
  <c r="E34" i="8"/>
  <c r="F35" i="8" s="1"/>
  <c r="G35" i="8" s="1"/>
  <c r="E35" i="8" s="1"/>
  <c r="F36" i="8" s="1"/>
  <c r="G36" i="8" s="1"/>
  <c r="J19" i="8"/>
  <c r="K19" i="8" s="1"/>
  <c r="W19" i="3"/>
  <c r="K13" i="3"/>
  <c r="Z13" i="3" s="1"/>
  <c r="Y13" i="3"/>
  <c r="Q36" i="3"/>
  <c r="R37" i="3" s="1"/>
  <c r="S37" i="3" s="1"/>
  <c r="Q37" i="3" s="1"/>
  <c r="R38" i="3" s="1"/>
  <c r="S38" i="3" s="1"/>
  <c r="V21" i="3" s="1"/>
  <c r="E24" i="3"/>
  <c r="F25" i="3" s="1"/>
  <c r="G25" i="3" s="1"/>
  <c r="E25" i="3" s="1"/>
  <c r="F26" i="3" s="1"/>
  <c r="G26" i="3" s="1"/>
  <c r="J15" i="3" s="1"/>
  <c r="O64" i="12" l="1"/>
  <c r="W16" i="13"/>
  <c r="Z16" i="13" s="1"/>
  <c r="Y16" i="13"/>
  <c r="Q30" i="13"/>
  <c r="R31" i="13" s="1"/>
  <c r="S31" i="13" s="1"/>
  <c r="Q31" i="13" s="1"/>
  <c r="R32" i="13" s="1"/>
  <c r="S32" i="13" s="1"/>
  <c r="V17" i="13"/>
  <c r="V16" i="8"/>
  <c r="Q28" i="8"/>
  <c r="R29" i="8" s="1"/>
  <c r="S29" i="8" s="1"/>
  <c r="Q29" i="8" s="1"/>
  <c r="R30" i="8" s="1"/>
  <c r="S30" i="8" s="1"/>
  <c r="Y15" i="8"/>
  <c r="W15" i="8"/>
  <c r="Z15" i="8" s="1"/>
  <c r="J20" i="8"/>
  <c r="K20" i="8" s="1"/>
  <c r="E36" i="8"/>
  <c r="F37" i="8" s="1"/>
  <c r="G37" i="8" s="1"/>
  <c r="E37" i="8" s="1"/>
  <c r="F38" i="8" s="1"/>
  <c r="G38" i="8" s="1"/>
  <c r="W20" i="3"/>
  <c r="K14" i="3"/>
  <c r="Z14" i="3" s="1"/>
  <c r="Y14" i="3"/>
  <c r="Q38" i="3"/>
  <c r="R39" i="3" s="1"/>
  <c r="S39" i="3" s="1"/>
  <c r="Q39" i="3" s="1"/>
  <c r="R40" i="3" s="1"/>
  <c r="S40" i="3" s="1"/>
  <c r="V22" i="3" s="1"/>
  <c r="E26" i="3"/>
  <c r="F27" i="3" s="1"/>
  <c r="G27" i="3" s="1"/>
  <c r="E27" i="3" s="1"/>
  <c r="F28" i="3" s="1"/>
  <c r="G28" i="3" s="1"/>
  <c r="J16" i="3" s="1"/>
  <c r="O65" i="12" l="1"/>
  <c r="W17" i="13"/>
  <c r="Z17" i="13" s="1"/>
  <c r="Y17" i="13"/>
  <c r="Q32" i="13"/>
  <c r="R33" i="13" s="1"/>
  <c r="S33" i="13" s="1"/>
  <c r="Q33" i="13" s="1"/>
  <c r="R34" i="13" s="1"/>
  <c r="S34" i="13" s="1"/>
  <c r="V18" i="13"/>
  <c r="Q30" i="8"/>
  <c r="R31" i="8" s="1"/>
  <c r="S31" i="8" s="1"/>
  <c r="Q31" i="8" s="1"/>
  <c r="R32" i="8" s="1"/>
  <c r="S32" i="8" s="1"/>
  <c r="V17" i="8"/>
  <c r="Y16" i="8"/>
  <c r="W16" i="8"/>
  <c r="Z16" i="8" s="1"/>
  <c r="E38" i="8"/>
  <c r="F39" i="8" s="1"/>
  <c r="G39" i="8" s="1"/>
  <c r="E39" i="8" s="1"/>
  <c r="F40" i="8" s="1"/>
  <c r="G40" i="8" s="1"/>
  <c r="J21" i="8"/>
  <c r="K21" i="8" s="1"/>
  <c r="W21" i="3"/>
  <c r="K15" i="3"/>
  <c r="Z15" i="3" s="1"/>
  <c r="Y15" i="3"/>
  <c r="Q40" i="3"/>
  <c r="R41" i="3" s="1"/>
  <c r="S41" i="3" s="1"/>
  <c r="Q41" i="3" s="1"/>
  <c r="R42" i="3" s="1"/>
  <c r="S42" i="3" s="1"/>
  <c r="V23" i="3" s="1"/>
  <c r="E28" i="3"/>
  <c r="F29" i="3" s="1"/>
  <c r="G29" i="3" s="1"/>
  <c r="E29" i="3" s="1"/>
  <c r="F30" i="3" s="1"/>
  <c r="G30" i="3" s="1"/>
  <c r="J17" i="3" s="1"/>
  <c r="O66" i="12" l="1"/>
  <c r="Q34" i="13"/>
  <c r="R35" i="13" s="1"/>
  <c r="S35" i="13" s="1"/>
  <c r="Q35" i="13" s="1"/>
  <c r="R36" i="13" s="1"/>
  <c r="S36" i="13" s="1"/>
  <c r="V19" i="13"/>
  <c r="W18" i="13"/>
  <c r="Z18" i="13" s="1"/>
  <c r="Y18" i="13"/>
  <c r="W17" i="8"/>
  <c r="Z17" i="8" s="1"/>
  <c r="Y17" i="8"/>
  <c r="Q32" i="8"/>
  <c r="R33" i="8" s="1"/>
  <c r="S33" i="8" s="1"/>
  <c r="Q33" i="8" s="1"/>
  <c r="R34" i="8" s="1"/>
  <c r="S34" i="8" s="1"/>
  <c r="V18" i="8"/>
  <c r="J22" i="8"/>
  <c r="K22" i="8" s="1"/>
  <c r="E40" i="8"/>
  <c r="F41" i="8" s="1"/>
  <c r="G41" i="8" s="1"/>
  <c r="E41" i="8" s="1"/>
  <c r="F42" i="8" s="1"/>
  <c r="G42" i="8" s="1"/>
  <c r="W22" i="3"/>
  <c r="K16" i="3"/>
  <c r="Z16" i="3" s="1"/>
  <c r="Y16" i="3"/>
  <c r="Q42" i="3"/>
  <c r="R43" i="3" s="1"/>
  <c r="S43" i="3" s="1"/>
  <c r="Q43" i="3" s="1"/>
  <c r="R44" i="3" s="1"/>
  <c r="S44" i="3" s="1"/>
  <c r="V24" i="3" s="1"/>
  <c r="E30" i="3"/>
  <c r="F31" i="3" s="1"/>
  <c r="G31" i="3" s="1"/>
  <c r="E31" i="3" s="1"/>
  <c r="F32" i="3" s="1"/>
  <c r="G32" i="3" s="1"/>
  <c r="J18" i="3" s="1"/>
  <c r="O67" i="12" l="1"/>
  <c r="W19" i="13"/>
  <c r="Z19" i="13" s="1"/>
  <c r="Y19" i="13"/>
  <c r="Q36" i="13"/>
  <c r="R37" i="13" s="1"/>
  <c r="S37" i="13" s="1"/>
  <c r="Q37" i="13" s="1"/>
  <c r="R38" i="13" s="1"/>
  <c r="S38" i="13" s="1"/>
  <c r="V20" i="13"/>
  <c r="Q34" i="8"/>
  <c r="R35" i="8" s="1"/>
  <c r="S35" i="8" s="1"/>
  <c r="Q35" i="8" s="1"/>
  <c r="R36" i="8" s="1"/>
  <c r="S36" i="8" s="1"/>
  <c r="V19" i="8"/>
  <c r="Y18" i="8"/>
  <c r="W18" i="8"/>
  <c r="Z18" i="8" s="1"/>
  <c r="J23" i="8"/>
  <c r="K23" i="8" s="1"/>
  <c r="E42" i="8"/>
  <c r="F43" i="8" s="1"/>
  <c r="G43" i="8" s="1"/>
  <c r="E43" i="8" s="1"/>
  <c r="F44" i="8" s="1"/>
  <c r="G44" i="8" s="1"/>
  <c r="W23" i="3"/>
  <c r="K17" i="3"/>
  <c r="Z17" i="3" s="1"/>
  <c r="Y17" i="3"/>
  <c r="Q44" i="3"/>
  <c r="R45" i="3" s="1"/>
  <c r="S45" i="3" s="1"/>
  <c r="Q45" i="3" s="1"/>
  <c r="R46" i="3" s="1"/>
  <c r="S46" i="3" s="1"/>
  <c r="V25" i="3" s="1"/>
  <c r="E32" i="3"/>
  <c r="F33" i="3" s="1"/>
  <c r="G33" i="3" s="1"/>
  <c r="E33" i="3" s="1"/>
  <c r="F34" i="3" s="1"/>
  <c r="G34" i="3" s="1"/>
  <c r="J19" i="3" s="1"/>
  <c r="O68" i="12" l="1"/>
  <c r="Q38" i="13"/>
  <c r="R39" i="13" s="1"/>
  <c r="S39" i="13" s="1"/>
  <c r="Q39" i="13" s="1"/>
  <c r="R40" i="13" s="1"/>
  <c r="S40" i="13" s="1"/>
  <c r="V21" i="13"/>
  <c r="Y20" i="13"/>
  <c r="W20" i="13"/>
  <c r="Z20" i="13" s="1"/>
  <c r="W19" i="8"/>
  <c r="Z19" i="8" s="1"/>
  <c r="Y19" i="8"/>
  <c r="Q36" i="8"/>
  <c r="R37" i="8" s="1"/>
  <c r="S37" i="8" s="1"/>
  <c r="Q37" i="8" s="1"/>
  <c r="R38" i="8" s="1"/>
  <c r="S38" i="8" s="1"/>
  <c r="V20" i="8"/>
  <c r="J24" i="8"/>
  <c r="K24" i="8" s="1"/>
  <c r="E44" i="8"/>
  <c r="F45" i="8" s="1"/>
  <c r="G45" i="8" s="1"/>
  <c r="E45" i="8" s="1"/>
  <c r="F46" i="8" s="1"/>
  <c r="G46" i="8" s="1"/>
  <c r="W24" i="3"/>
  <c r="K18" i="3"/>
  <c r="Z18" i="3" s="1"/>
  <c r="Y18" i="3"/>
  <c r="Q46" i="3"/>
  <c r="R47" i="3" s="1"/>
  <c r="S47" i="3" s="1"/>
  <c r="Q47" i="3" s="1"/>
  <c r="R48" i="3" s="1"/>
  <c r="S48" i="3" s="1"/>
  <c r="V26" i="3" s="1"/>
  <c r="E34" i="3"/>
  <c r="F35" i="3" s="1"/>
  <c r="G35" i="3" s="1"/>
  <c r="E35" i="3" s="1"/>
  <c r="F36" i="3" s="1"/>
  <c r="G36" i="3" s="1"/>
  <c r="J20" i="3" s="1"/>
  <c r="O69" i="12" l="1"/>
  <c r="Y21" i="13"/>
  <c r="W21" i="13"/>
  <c r="Z21" i="13" s="1"/>
  <c r="Q40" i="13"/>
  <c r="R41" i="13" s="1"/>
  <c r="S41" i="13" s="1"/>
  <c r="Q41" i="13" s="1"/>
  <c r="R42" i="13" s="1"/>
  <c r="S42" i="13" s="1"/>
  <c r="V22" i="13"/>
  <c r="Q38" i="8"/>
  <c r="R39" i="8" s="1"/>
  <c r="S39" i="8" s="1"/>
  <c r="Q39" i="8" s="1"/>
  <c r="R40" i="8" s="1"/>
  <c r="S40" i="8" s="1"/>
  <c r="V21" i="8"/>
  <c r="W20" i="8"/>
  <c r="Z20" i="8" s="1"/>
  <c r="Y20" i="8"/>
  <c r="J25" i="8"/>
  <c r="K25" i="8" s="1"/>
  <c r="E46" i="8"/>
  <c r="F47" i="8" s="1"/>
  <c r="G47" i="8" s="1"/>
  <c r="E47" i="8" s="1"/>
  <c r="F48" i="8" s="1"/>
  <c r="G48" i="8" s="1"/>
  <c r="W25" i="3"/>
  <c r="K19" i="3"/>
  <c r="Z19" i="3" s="1"/>
  <c r="Y19" i="3"/>
  <c r="Q48" i="3"/>
  <c r="R49" i="3" s="1"/>
  <c r="S49" i="3" s="1"/>
  <c r="Q49" i="3" s="1"/>
  <c r="R50" i="3" s="1"/>
  <c r="S50" i="3" s="1"/>
  <c r="V27" i="3" s="1"/>
  <c r="E36" i="3"/>
  <c r="F37" i="3" s="1"/>
  <c r="G37" i="3" s="1"/>
  <c r="E37" i="3" s="1"/>
  <c r="F38" i="3" s="1"/>
  <c r="G38" i="3" s="1"/>
  <c r="J21" i="3" s="1"/>
  <c r="O70" i="12" l="1"/>
  <c r="Q42" i="13"/>
  <c r="R43" i="13" s="1"/>
  <c r="S43" i="13" s="1"/>
  <c r="Q43" i="13" s="1"/>
  <c r="R44" i="13" s="1"/>
  <c r="S44" i="13" s="1"/>
  <c r="V23" i="13"/>
  <c r="Y22" i="13"/>
  <c r="W22" i="13"/>
  <c r="Z22" i="13" s="1"/>
  <c r="W21" i="8"/>
  <c r="Z21" i="8" s="1"/>
  <c r="Y21" i="8"/>
  <c r="Q40" i="8"/>
  <c r="R41" i="8" s="1"/>
  <c r="S41" i="8" s="1"/>
  <c r="Q41" i="8" s="1"/>
  <c r="R42" i="8" s="1"/>
  <c r="S42" i="8" s="1"/>
  <c r="V22" i="8"/>
  <c r="E48" i="8"/>
  <c r="F49" i="8" s="1"/>
  <c r="G49" i="8" s="1"/>
  <c r="E49" i="8" s="1"/>
  <c r="F50" i="8" s="1"/>
  <c r="G50" i="8" s="1"/>
  <c r="J26" i="8"/>
  <c r="K26" i="8" s="1"/>
  <c r="W26" i="3"/>
  <c r="K20" i="3"/>
  <c r="Z20" i="3" s="1"/>
  <c r="Y20" i="3"/>
  <c r="Q50" i="3"/>
  <c r="R51" i="3" s="1"/>
  <c r="S51" i="3" s="1"/>
  <c r="Q51" i="3" s="1"/>
  <c r="R52" i="3" s="1"/>
  <c r="S52" i="3" s="1"/>
  <c r="V28" i="3" s="1"/>
  <c r="E38" i="3"/>
  <c r="F39" i="3" s="1"/>
  <c r="G39" i="3" s="1"/>
  <c r="E39" i="3" s="1"/>
  <c r="F40" i="3" s="1"/>
  <c r="G40" i="3" s="1"/>
  <c r="J22" i="3" s="1"/>
  <c r="O71" i="12" l="1"/>
  <c r="Y23" i="13"/>
  <c r="W23" i="13"/>
  <c r="Z23" i="13" s="1"/>
  <c r="Q44" i="13"/>
  <c r="R45" i="13" s="1"/>
  <c r="S45" i="13" s="1"/>
  <c r="Q45" i="13" s="1"/>
  <c r="R46" i="13" s="1"/>
  <c r="S46" i="13" s="1"/>
  <c r="V24" i="13"/>
  <c r="Q42" i="8"/>
  <c r="R43" i="8" s="1"/>
  <c r="S43" i="8" s="1"/>
  <c r="Q43" i="8" s="1"/>
  <c r="R44" i="8" s="1"/>
  <c r="S44" i="8" s="1"/>
  <c r="V23" i="8"/>
  <c r="Y22" i="8"/>
  <c r="W22" i="8"/>
  <c r="Z22" i="8" s="1"/>
  <c r="J27" i="8"/>
  <c r="K27" i="8" s="1"/>
  <c r="E50" i="8"/>
  <c r="F51" i="8" s="1"/>
  <c r="G51" i="8" s="1"/>
  <c r="E51" i="8" s="1"/>
  <c r="F52" i="8" s="1"/>
  <c r="G52" i="8" s="1"/>
  <c r="W27" i="3"/>
  <c r="K21" i="3"/>
  <c r="Z21" i="3" s="1"/>
  <c r="Y21" i="3"/>
  <c r="Q52" i="3"/>
  <c r="R53" i="3" s="1"/>
  <c r="S53" i="3" s="1"/>
  <c r="Q53" i="3" s="1"/>
  <c r="R54" i="3" s="1"/>
  <c r="S54" i="3" s="1"/>
  <c r="V29" i="3" s="1"/>
  <c r="E40" i="3"/>
  <c r="F41" i="3" s="1"/>
  <c r="G41" i="3" s="1"/>
  <c r="E41" i="3" s="1"/>
  <c r="F42" i="3" s="1"/>
  <c r="G42" i="3" s="1"/>
  <c r="J23" i="3" s="1"/>
  <c r="O72" i="12" l="1"/>
  <c r="Q46" i="13"/>
  <c r="R47" i="13" s="1"/>
  <c r="S47" i="13" s="1"/>
  <c r="Q47" i="13" s="1"/>
  <c r="R48" i="13" s="1"/>
  <c r="S48" i="13" s="1"/>
  <c r="V25" i="13"/>
  <c r="Y24" i="13"/>
  <c r="W24" i="13"/>
  <c r="Z24" i="13" s="1"/>
  <c r="W23" i="8"/>
  <c r="Z23" i="8" s="1"/>
  <c r="Y23" i="8"/>
  <c r="Q44" i="8"/>
  <c r="R45" i="8" s="1"/>
  <c r="S45" i="8" s="1"/>
  <c r="Q45" i="8" s="1"/>
  <c r="R46" i="8" s="1"/>
  <c r="S46" i="8" s="1"/>
  <c r="V24" i="8"/>
  <c r="E52" i="8"/>
  <c r="F53" i="8" s="1"/>
  <c r="G53" i="8" s="1"/>
  <c r="E53" i="8" s="1"/>
  <c r="F54" i="8" s="1"/>
  <c r="G54" i="8" s="1"/>
  <c r="J28" i="8"/>
  <c r="K28" i="8" s="1"/>
  <c r="W28" i="3"/>
  <c r="K22" i="3"/>
  <c r="Z22" i="3" s="1"/>
  <c r="Y22" i="3"/>
  <c r="Q54" i="3"/>
  <c r="R55" i="3" s="1"/>
  <c r="S55" i="3" s="1"/>
  <c r="Q55" i="3" s="1"/>
  <c r="R56" i="3" s="1"/>
  <c r="S56" i="3" s="1"/>
  <c r="V30" i="3" s="1"/>
  <c r="E42" i="3"/>
  <c r="F43" i="3" s="1"/>
  <c r="G43" i="3" s="1"/>
  <c r="E43" i="3" s="1"/>
  <c r="F44" i="3" s="1"/>
  <c r="G44" i="3" s="1"/>
  <c r="J24" i="3" s="1"/>
  <c r="O73" i="12" l="1"/>
  <c r="Y25" i="13"/>
  <c r="W25" i="13"/>
  <c r="Z25" i="13" s="1"/>
  <c r="Q48" i="13"/>
  <c r="R49" i="13" s="1"/>
  <c r="S49" i="13" s="1"/>
  <c r="Q49" i="13" s="1"/>
  <c r="R50" i="13" s="1"/>
  <c r="S50" i="13" s="1"/>
  <c r="V26" i="13"/>
  <c r="Q46" i="8"/>
  <c r="R47" i="8" s="1"/>
  <c r="S47" i="8" s="1"/>
  <c r="Q47" i="8" s="1"/>
  <c r="R48" i="8" s="1"/>
  <c r="S48" i="8" s="1"/>
  <c r="V25" i="8"/>
  <c r="Y24" i="8"/>
  <c r="W24" i="8"/>
  <c r="Z24" i="8" s="1"/>
  <c r="J29" i="8"/>
  <c r="K29" i="8" s="1"/>
  <c r="E54" i="8"/>
  <c r="F55" i="8" s="1"/>
  <c r="G55" i="8" s="1"/>
  <c r="E55" i="8" s="1"/>
  <c r="F56" i="8" s="1"/>
  <c r="G56" i="8" s="1"/>
  <c r="W29" i="3"/>
  <c r="K23" i="3"/>
  <c r="Z23" i="3" s="1"/>
  <c r="Y23" i="3"/>
  <c r="Q56" i="3"/>
  <c r="R57" i="3" s="1"/>
  <c r="S57" i="3" s="1"/>
  <c r="Q57" i="3" s="1"/>
  <c r="R58" i="3" s="1"/>
  <c r="S58" i="3" s="1"/>
  <c r="V31" i="3" s="1"/>
  <c r="E44" i="3"/>
  <c r="F45" i="3" s="1"/>
  <c r="G45" i="3" s="1"/>
  <c r="E45" i="3" s="1"/>
  <c r="F46" i="3" s="1"/>
  <c r="G46" i="3" s="1"/>
  <c r="J25" i="3" s="1"/>
  <c r="O74" i="12" l="1"/>
  <c r="Q50" i="13"/>
  <c r="R51" i="13" s="1"/>
  <c r="S51" i="13" s="1"/>
  <c r="Q51" i="13" s="1"/>
  <c r="R52" i="13" s="1"/>
  <c r="S52" i="13" s="1"/>
  <c r="V27" i="13"/>
  <c r="Y26" i="13"/>
  <c r="W26" i="13"/>
  <c r="Z26" i="13" s="1"/>
  <c r="W25" i="8"/>
  <c r="Z25" i="8" s="1"/>
  <c r="Y25" i="8"/>
  <c r="V26" i="8"/>
  <c r="Q48" i="8"/>
  <c r="R49" i="8" s="1"/>
  <c r="S49" i="8" s="1"/>
  <c r="Q49" i="8" s="1"/>
  <c r="R50" i="8" s="1"/>
  <c r="S50" i="8" s="1"/>
  <c r="J30" i="8"/>
  <c r="K30" i="8" s="1"/>
  <c r="E56" i="8"/>
  <c r="F57" i="8" s="1"/>
  <c r="G57" i="8" s="1"/>
  <c r="E57" i="8" s="1"/>
  <c r="F58" i="8" s="1"/>
  <c r="G58" i="8" s="1"/>
  <c r="W30" i="3"/>
  <c r="K24" i="3"/>
  <c r="Z24" i="3" s="1"/>
  <c r="Y24" i="3"/>
  <c r="Q58" i="3"/>
  <c r="R59" i="3" s="1"/>
  <c r="S59" i="3" s="1"/>
  <c r="Q59" i="3" s="1"/>
  <c r="R60" i="3" s="1"/>
  <c r="S60" i="3" s="1"/>
  <c r="V32" i="3" s="1"/>
  <c r="E46" i="3"/>
  <c r="F47" i="3" s="1"/>
  <c r="G47" i="3" s="1"/>
  <c r="E47" i="3" s="1"/>
  <c r="F48" i="3" s="1"/>
  <c r="G48" i="3" s="1"/>
  <c r="J26" i="3" s="1"/>
  <c r="O75" i="12" l="1"/>
  <c r="Y27" i="13"/>
  <c r="W27" i="13"/>
  <c r="Z27" i="13" s="1"/>
  <c r="Q52" i="13"/>
  <c r="R53" i="13" s="1"/>
  <c r="S53" i="13" s="1"/>
  <c r="Q53" i="13" s="1"/>
  <c r="R54" i="13" s="1"/>
  <c r="S54" i="13" s="1"/>
  <c r="V28" i="13"/>
  <c r="Y26" i="8"/>
  <c r="W26" i="8"/>
  <c r="Z26" i="8" s="1"/>
  <c r="Q50" i="8"/>
  <c r="R51" i="8" s="1"/>
  <c r="S51" i="8" s="1"/>
  <c r="Q51" i="8" s="1"/>
  <c r="R52" i="8" s="1"/>
  <c r="S52" i="8" s="1"/>
  <c r="V27" i="8"/>
  <c r="J31" i="8"/>
  <c r="K31" i="8" s="1"/>
  <c r="E58" i="8"/>
  <c r="F59" i="8" s="1"/>
  <c r="G59" i="8" s="1"/>
  <c r="E59" i="8" s="1"/>
  <c r="F60" i="8" s="1"/>
  <c r="G60" i="8" s="1"/>
  <c r="W31" i="3"/>
  <c r="K25" i="3"/>
  <c r="Z25" i="3" s="1"/>
  <c r="Y25" i="3"/>
  <c r="Q60" i="3"/>
  <c r="R61" i="3" s="1"/>
  <c r="S61" i="3" s="1"/>
  <c r="Q61" i="3" s="1"/>
  <c r="R62" i="3" s="1"/>
  <c r="S62" i="3" s="1"/>
  <c r="V33" i="3" s="1"/>
  <c r="E48" i="3"/>
  <c r="F49" i="3" s="1"/>
  <c r="G49" i="3" s="1"/>
  <c r="E49" i="3" s="1"/>
  <c r="F50" i="3" s="1"/>
  <c r="G50" i="3" s="1"/>
  <c r="J27" i="3" s="1"/>
  <c r="O76" i="12" l="1"/>
  <c r="Q54" i="13"/>
  <c r="R55" i="13" s="1"/>
  <c r="S55" i="13" s="1"/>
  <c r="Q55" i="13" s="1"/>
  <c r="R56" i="13" s="1"/>
  <c r="S56" i="13" s="1"/>
  <c r="V29" i="13"/>
  <c r="W28" i="13"/>
  <c r="Z28" i="13" s="1"/>
  <c r="Y28" i="13"/>
  <c r="Q52" i="8"/>
  <c r="R53" i="8" s="1"/>
  <c r="S53" i="8" s="1"/>
  <c r="Q53" i="8" s="1"/>
  <c r="R54" i="8" s="1"/>
  <c r="S54" i="8" s="1"/>
  <c r="V28" i="8"/>
  <c r="W27" i="8"/>
  <c r="Z27" i="8" s="1"/>
  <c r="Y27" i="8"/>
  <c r="J32" i="8"/>
  <c r="K32" i="8" s="1"/>
  <c r="E60" i="8"/>
  <c r="F61" i="8" s="1"/>
  <c r="G61" i="8" s="1"/>
  <c r="E61" i="8" s="1"/>
  <c r="F62" i="8" s="1"/>
  <c r="G62" i="8" s="1"/>
  <c r="W32" i="3"/>
  <c r="K26" i="3"/>
  <c r="Z26" i="3" s="1"/>
  <c r="Y26" i="3"/>
  <c r="Q62" i="3"/>
  <c r="R63" i="3" s="1"/>
  <c r="S63" i="3" s="1"/>
  <c r="Q63" i="3" s="1"/>
  <c r="R64" i="3" s="1"/>
  <c r="S64" i="3" s="1"/>
  <c r="V34" i="3" s="1"/>
  <c r="E50" i="3"/>
  <c r="F51" i="3" s="1"/>
  <c r="G51" i="3" s="1"/>
  <c r="E51" i="3" s="1"/>
  <c r="F52" i="3" s="1"/>
  <c r="G52" i="3" s="1"/>
  <c r="J28" i="3" s="1"/>
  <c r="O77" i="12" l="1"/>
  <c r="W29" i="13"/>
  <c r="Z29" i="13" s="1"/>
  <c r="Y29" i="13"/>
  <c r="Q56" i="13"/>
  <c r="R57" i="13" s="1"/>
  <c r="S57" i="13" s="1"/>
  <c r="Q57" i="13" s="1"/>
  <c r="R58" i="13" s="1"/>
  <c r="S58" i="13" s="1"/>
  <c r="V30" i="13"/>
  <c r="Y28" i="8"/>
  <c r="W28" i="8"/>
  <c r="Z28" i="8" s="1"/>
  <c r="Q54" i="8"/>
  <c r="R55" i="8" s="1"/>
  <c r="S55" i="8" s="1"/>
  <c r="Q55" i="8" s="1"/>
  <c r="R56" i="8" s="1"/>
  <c r="S56" i="8" s="1"/>
  <c r="V29" i="8"/>
  <c r="E62" i="8"/>
  <c r="F63" i="8" s="1"/>
  <c r="G63" i="8" s="1"/>
  <c r="E63" i="8" s="1"/>
  <c r="F64" i="8" s="1"/>
  <c r="G64" i="8" s="1"/>
  <c r="J33" i="8"/>
  <c r="K33" i="8" s="1"/>
  <c r="W33" i="3"/>
  <c r="K27" i="3"/>
  <c r="Z27" i="3" s="1"/>
  <c r="Y27" i="3"/>
  <c r="Q64" i="3"/>
  <c r="E52" i="3"/>
  <c r="F53" i="3" s="1"/>
  <c r="G53" i="3" s="1"/>
  <c r="E53" i="3" s="1"/>
  <c r="F54" i="3" s="1"/>
  <c r="G54" i="3" s="1"/>
  <c r="J29" i="3" s="1"/>
  <c r="O78" i="12" l="1"/>
  <c r="V31" i="13"/>
  <c r="Q58" i="13"/>
  <c r="R59" i="13" s="1"/>
  <c r="S59" i="13" s="1"/>
  <c r="Q59" i="13" s="1"/>
  <c r="R60" i="13" s="1"/>
  <c r="S60" i="13" s="1"/>
  <c r="W30" i="13"/>
  <c r="Z30" i="13" s="1"/>
  <c r="Y30" i="13"/>
  <c r="Q56" i="8"/>
  <c r="R57" i="8" s="1"/>
  <c r="S57" i="8" s="1"/>
  <c r="Q57" i="8" s="1"/>
  <c r="R58" i="8" s="1"/>
  <c r="S58" i="8" s="1"/>
  <c r="V30" i="8"/>
  <c r="Y29" i="8"/>
  <c r="W29" i="8"/>
  <c r="Z29" i="8" s="1"/>
  <c r="J34" i="8"/>
  <c r="O4" i="5" s="1" a="1"/>
  <c r="E64" i="8"/>
  <c r="K28" i="3"/>
  <c r="Z28" i="3" s="1"/>
  <c r="Y28" i="3"/>
  <c r="W34" i="3"/>
  <c r="E54" i="3"/>
  <c r="F55" i="3" s="1"/>
  <c r="G55" i="3" s="1"/>
  <c r="E55" i="3" s="1"/>
  <c r="F56" i="3" s="1"/>
  <c r="G56" i="3" s="1"/>
  <c r="J30" i="3" s="1"/>
  <c r="O4" i="5" l="1"/>
  <c r="O33" i="5"/>
  <c r="O26" i="5"/>
  <c r="O15" i="5"/>
  <c r="O13" i="5"/>
  <c r="O9" i="5"/>
  <c r="O10" i="5"/>
  <c r="O7" i="5"/>
  <c r="O28" i="5"/>
  <c r="O18" i="5"/>
  <c r="O16" i="5"/>
  <c r="O25" i="5"/>
  <c r="O30" i="5"/>
  <c r="O20" i="5"/>
  <c r="O24" i="5"/>
  <c r="O19" i="5"/>
  <c r="O23" i="5"/>
  <c r="O31" i="5"/>
  <c r="O17" i="5"/>
  <c r="O22" i="5"/>
  <c r="O12" i="5"/>
  <c r="O27" i="5"/>
  <c r="O8" i="5"/>
  <c r="O11" i="5"/>
  <c r="O5" i="5"/>
  <c r="O32" i="5"/>
  <c r="O14" i="5"/>
  <c r="O6" i="5"/>
  <c r="O29" i="5"/>
  <c r="O21" i="5"/>
  <c r="O79" i="12"/>
  <c r="V32" i="13"/>
  <c r="Q60" i="13"/>
  <c r="R61" i="13" s="1"/>
  <c r="S61" i="13" s="1"/>
  <c r="Q61" i="13" s="1"/>
  <c r="R62" i="13" s="1"/>
  <c r="S62" i="13" s="1"/>
  <c r="W31" i="13"/>
  <c r="Z31" i="13" s="1"/>
  <c r="Y31" i="13"/>
  <c r="W30" i="8"/>
  <c r="Z30" i="8" s="1"/>
  <c r="Y30" i="8"/>
  <c r="Q58" i="8"/>
  <c r="R59" i="8" s="1"/>
  <c r="S59" i="8" s="1"/>
  <c r="Q59" i="8" s="1"/>
  <c r="R60" i="8" s="1"/>
  <c r="S60" i="8" s="1"/>
  <c r="V31" i="8"/>
  <c r="K34" i="8"/>
  <c r="K29" i="3"/>
  <c r="Z29" i="3" s="1"/>
  <c r="Y29" i="3"/>
  <c r="E56" i="3"/>
  <c r="F57" i="3" s="1"/>
  <c r="G57" i="3" s="1"/>
  <c r="E57" i="3" s="1"/>
  <c r="F58" i="3" s="1"/>
  <c r="G58" i="3" s="1"/>
  <c r="J31" i="3" s="1"/>
  <c r="O80" i="12" l="1"/>
  <c r="O34" i="5"/>
  <c r="O35" i="5" s="1"/>
  <c r="Q62" i="13"/>
  <c r="R63" i="13" s="1"/>
  <c r="S63" i="13" s="1"/>
  <c r="Q63" i="13" s="1"/>
  <c r="R64" i="13" s="1"/>
  <c r="S64" i="13" s="1"/>
  <c r="V33" i="13"/>
  <c r="W32" i="13"/>
  <c r="Z32" i="13" s="1"/>
  <c r="Y32" i="13"/>
  <c r="Q60" i="8"/>
  <c r="R61" i="8" s="1"/>
  <c r="S61" i="8" s="1"/>
  <c r="Q61" i="8" s="1"/>
  <c r="R62" i="8" s="1"/>
  <c r="S62" i="8" s="1"/>
  <c r="V32" i="8"/>
  <c r="W31" i="8"/>
  <c r="Z31" i="8" s="1"/>
  <c r="Y31" i="8"/>
  <c r="K30" i="3"/>
  <c r="Z30" i="3" s="1"/>
  <c r="Y30" i="3"/>
  <c r="E58" i="3"/>
  <c r="F59" i="3" s="1"/>
  <c r="G59" i="3" s="1"/>
  <c r="E59" i="3" s="1"/>
  <c r="F60" i="3" s="1"/>
  <c r="G60" i="3" s="1"/>
  <c r="J32" i="3" s="1"/>
  <c r="O81" i="12" l="1"/>
  <c r="O36" i="5"/>
  <c r="Y33" i="13"/>
  <c r="W33" i="13"/>
  <c r="Z33" i="13" s="1"/>
  <c r="Q64" i="13"/>
  <c r="V34" i="13"/>
  <c r="W32" i="8"/>
  <c r="Z32" i="8" s="1"/>
  <c r="Y32" i="8"/>
  <c r="Q62" i="8"/>
  <c r="R63" i="8" s="1"/>
  <c r="S63" i="8" s="1"/>
  <c r="Q63" i="8" s="1"/>
  <c r="R64" i="8" s="1"/>
  <c r="S64" i="8" s="1"/>
  <c r="V33" i="8"/>
  <c r="K31" i="3"/>
  <c r="Z31" i="3" s="1"/>
  <c r="Y31" i="3"/>
  <c r="E60" i="3"/>
  <c r="F61" i="3" s="1"/>
  <c r="G61" i="3" s="1"/>
  <c r="E61" i="3" s="1"/>
  <c r="F62" i="3" s="1"/>
  <c r="G62" i="3" s="1"/>
  <c r="J33" i="3" s="1"/>
  <c r="O82" i="12" l="1"/>
  <c r="O37" i="5"/>
  <c r="W34" i="13"/>
  <c r="Z34" i="13" s="1"/>
  <c r="Y34" i="13"/>
  <c r="P4" i="12" s="1" a="1"/>
  <c r="Q64" i="8"/>
  <c r="V34" i="8"/>
  <c r="W33" i="8"/>
  <c r="Z33" i="8" s="1"/>
  <c r="Y33" i="8"/>
  <c r="K32" i="3"/>
  <c r="Z32" i="3" s="1"/>
  <c r="Y32" i="3"/>
  <c r="E62" i="3"/>
  <c r="F63" i="3" s="1"/>
  <c r="G63" i="3" s="1"/>
  <c r="E63" i="3" s="1"/>
  <c r="F64" i="3" s="1"/>
  <c r="G64" i="3" s="1"/>
  <c r="J34" i="3" s="1"/>
  <c r="O4" i="1" s="1" a="1"/>
  <c r="P4" i="12" l="1"/>
  <c r="P16" i="12"/>
  <c r="P17" i="12"/>
  <c r="P14" i="12"/>
  <c r="P6" i="12"/>
  <c r="P8" i="12"/>
  <c r="P29" i="12"/>
  <c r="P27" i="12"/>
  <c r="P10" i="12"/>
  <c r="P31" i="12"/>
  <c r="P21" i="12"/>
  <c r="P18" i="12"/>
  <c r="P7" i="12"/>
  <c r="P25" i="12"/>
  <c r="P33" i="12"/>
  <c r="P19" i="12"/>
  <c r="P9" i="12"/>
  <c r="P23" i="12"/>
  <c r="P13" i="12"/>
  <c r="P5" i="12"/>
  <c r="P30" i="12"/>
  <c r="P32" i="12"/>
  <c r="P11" i="12"/>
  <c r="P24" i="12"/>
  <c r="P15" i="12"/>
  <c r="P28" i="12"/>
  <c r="P20" i="12"/>
  <c r="P26" i="12"/>
  <c r="P12" i="12"/>
  <c r="P22" i="12"/>
  <c r="O5" i="1"/>
  <c r="O27" i="1"/>
  <c r="O24" i="1"/>
  <c r="O4" i="1"/>
  <c r="O18" i="1"/>
  <c r="O16" i="1"/>
  <c r="O14" i="1"/>
  <c r="O10" i="1"/>
  <c r="O6" i="1"/>
  <c r="O20" i="1"/>
  <c r="O23" i="1"/>
  <c r="O15" i="1"/>
  <c r="O7" i="1"/>
  <c r="O30" i="1"/>
  <c r="O22" i="1"/>
  <c r="O19" i="1"/>
  <c r="O8" i="1"/>
  <c r="O17" i="1"/>
  <c r="O11" i="1"/>
  <c r="O26" i="1"/>
  <c r="O28" i="1"/>
  <c r="O33" i="1"/>
  <c r="O31" i="1"/>
  <c r="O29" i="1"/>
  <c r="O25" i="1"/>
  <c r="O21" i="1"/>
  <c r="O12" i="1"/>
  <c r="O13" i="1"/>
  <c r="O9" i="1"/>
  <c r="O32" i="1"/>
  <c r="O38" i="5"/>
  <c r="Y34" i="8"/>
  <c r="P4" i="5" s="1" a="1"/>
  <c r="W34" i="8"/>
  <c r="Z34" i="8" s="1"/>
  <c r="K33" i="3"/>
  <c r="Z33" i="3" s="1"/>
  <c r="Y33" i="3"/>
  <c r="E64" i="3"/>
  <c r="Y34" i="3"/>
  <c r="P4" i="1" s="1" a="1"/>
  <c r="P4" i="1" l="1"/>
  <c r="P8" i="1"/>
  <c r="P27" i="1"/>
  <c r="P10" i="1"/>
  <c r="P18" i="1"/>
  <c r="P15" i="1"/>
  <c r="P33" i="1"/>
  <c r="P20" i="1"/>
  <c r="P7" i="1"/>
  <c r="P17" i="1"/>
  <c r="P32" i="1"/>
  <c r="P21" i="1"/>
  <c r="P14" i="1"/>
  <c r="P5" i="1"/>
  <c r="P28" i="1"/>
  <c r="P25" i="1"/>
  <c r="P12" i="1"/>
  <c r="P29" i="1"/>
  <c r="P16" i="1"/>
  <c r="P24" i="1"/>
  <c r="P31" i="1"/>
  <c r="P23" i="1"/>
  <c r="P9" i="1"/>
  <c r="P19" i="1"/>
  <c r="P30" i="1"/>
  <c r="P26" i="1"/>
  <c r="P22" i="1"/>
  <c r="P13" i="1"/>
  <c r="P6" i="1"/>
  <c r="P11" i="1"/>
  <c r="P4" i="5"/>
  <c r="P32" i="5"/>
  <c r="R32" i="5" s="1"/>
  <c r="S32" i="5" s="1"/>
  <c r="P26" i="5"/>
  <c r="R26" i="5" s="1"/>
  <c r="S26" i="5" s="1"/>
  <c r="P27" i="5"/>
  <c r="R27" i="5" s="1"/>
  <c r="S27" i="5" s="1"/>
  <c r="P20" i="5"/>
  <c r="R20" i="5" s="1"/>
  <c r="S20" i="5" s="1"/>
  <c r="P24" i="5"/>
  <c r="R24" i="5" s="1"/>
  <c r="S24" i="5" s="1"/>
  <c r="P7" i="5"/>
  <c r="P31" i="5"/>
  <c r="R31" i="5" s="1"/>
  <c r="S31" i="5" s="1"/>
  <c r="P10" i="5"/>
  <c r="R10" i="5" s="1"/>
  <c r="S10" i="5" s="1"/>
  <c r="P25" i="5"/>
  <c r="R25" i="5" s="1"/>
  <c r="S25" i="5" s="1"/>
  <c r="P15" i="5"/>
  <c r="R15" i="5" s="1"/>
  <c r="S15" i="5" s="1"/>
  <c r="P17" i="5"/>
  <c r="R17" i="5" s="1"/>
  <c r="S17" i="5" s="1"/>
  <c r="P11" i="5"/>
  <c r="R11" i="5" s="1"/>
  <c r="S11" i="5" s="1"/>
  <c r="P30" i="5"/>
  <c r="R30" i="5" s="1"/>
  <c r="S30" i="5" s="1"/>
  <c r="P29" i="5"/>
  <c r="R29" i="5" s="1"/>
  <c r="S29" i="5" s="1"/>
  <c r="P33" i="5"/>
  <c r="R33" i="5" s="1"/>
  <c r="P5" i="5"/>
  <c r="R5" i="5" s="1"/>
  <c r="S5" i="5" s="1"/>
  <c r="P28" i="5"/>
  <c r="R28" i="5" s="1"/>
  <c r="S28" i="5" s="1"/>
  <c r="P16" i="5"/>
  <c r="P23" i="5"/>
  <c r="P22" i="5"/>
  <c r="R22" i="5" s="1"/>
  <c r="S22" i="5" s="1"/>
  <c r="P21" i="5"/>
  <c r="R21" i="5" s="1"/>
  <c r="S21" i="5" s="1"/>
  <c r="P9" i="5"/>
  <c r="R9" i="5" s="1"/>
  <c r="S9" i="5" s="1"/>
  <c r="P18" i="5"/>
  <c r="R18" i="5" s="1"/>
  <c r="S18" i="5" s="1"/>
  <c r="P14" i="5"/>
  <c r="R14" i="5" s="1"/>
  <c r="S14" i="5" s="1"/>
  <c r="P13" i="5"/>
  <c r="R13" i="5" s="1"/>
  <c r="S13" i="5" s="1"/>
  <c r="P8" i="5"/>
  <c r="R8" i="5" s="1"/>
  <c r="S8" i="5" s="1"/>
  <c r="P6" i="5"/>
  <c r="R6" i="5" s="1"/>
  <c r="S6" i="5" s="1"/>
  <c r="P19" i="5"/>
  <c r="R19" i="5" s="1"/>
  <c r="S19" i="5" s="1"/>
  <c r="P12" i="5"/>
  <c r="R12" i="5" s="1"/>
  <c r="S12" i="5" s="1"/>
  <c r="O39" i="5"/>
  <c r="R7" i="5"/>
  <c r="S7" i="5" s="1"/>
  <c r="R23" i="5"/>
  <c r="S23" i="5" s="1"/>
  <c r="R4" i="5"/>
  <c r="S4" i="5" s="1"/>
  <c r="T4" i="5" s="1"/>
  <c r="R16" i="5"/>
  <c r="S16" i="5" s="1"/>
  <c r="R30" i="12"/>
  <c r="R26" i="12"/>
  <c r="R33" i="12"/>
  <c r="R17" i="12"/>
  <c r="R32" i="12"/>
  <c r="R16" i="12"/>
  <c r="R11" i="12"/>
  <c r="R19" i="12"/>
  <c r="R10" i="12"/>
  <c r="R14" i="12"/>
  <c r="R29" i="12"/>
  <c r="R13" i="12"/>
  <c r="R28" i="12"/>
  <c r="R12" i="12"/>
  <c r="R5" i="12"/>
  <c r="R31" i="12"/>
  <c r="R23" i="12"/>
  <c r="R6" i="12"/>
  <c r="R7" i="12"/>
  <c r="R25" i="12"/>
  <c r="R9" i="12"/>
  <c r="R24" i="12"/>
  <c r="R8" i="12"/>
  <c r="R27" i="12"/>
  <c r="R22" i="12"/>
  <c r="R15" i="12"/>
  <c r="R18" i="12"/>
  <c r="R21" i="12"/>
  <c r="R20" i="12"/>
  <c r="R4" i="12"/>
  <c r="K34" i="3"/>
  <c r="T30" i="5" l="1"/>
  <c r="T6" i="5"/>
  <c r="S20" i="12"/>
  <c r="S22" i="12"/>
  <c r="S9" i="12"/>
  <c r="S23" i="12"/>
  <c r="S28" i="12"/>
  <c r="S10" i="12"/>
  <c r="S32" i="12"/>
  <c r="S30" i="12"/>
  <c r="S21" i="12"/>
  <c r="S27" i="12"/>
  <c r="S25" i="12"/>
  <c r="S31" i="12"/>
  <c r="S13" i="12"/>
  <c r="S19" i="12"/>
  <c r="S17" i="12"/>
  <c r="S18" i="12"/>
  <c r="S8" i="12"/>
  <c r="S7" i="12"/>
  <c r="S5" i="12"/>
  <c r="S29" i="12"/>
  <c r="S11" i="12"/>
  <c r="S15" i="12"/>
  <c r="S24" i="12"/>
  <c r="S6" i="12"/>
  <c r="S12" i="12"/>
  <c r="S14" i="12"/>
  <c r="S16" i="12"/>
  <c r="S26" i="12"/>
  <c r="S4" i="12"/>
  <c r="T28" i="5"/>
  <c r="T22" i="5"/>
  <c r="T24" i="5"/>
  <c r="T12" i="5"/>
  <c r="T8" i="5"/>
  <c r="T16" i="5"/>
  <c r="T29" i="5"/>
  <c r="T25" i="5"/>
  <c r="T27" i="5"/>
  <c r="T21" i="5"/>
  <c r="T13" i="5"/>
  <c r="T15" i="5"/>
  <c r="T9" i="5"/>
  <c r="T11" i="5"/>
  <c r="T5" i="5"/>
  <c r="T19" i="5"/>
  <c r="T32" i="5"/>
  <c r="T18" i="5"/>
  <c r="T14" i="5"/>
  <c r="T10" i="5"/>
  <c r="T31" i="5"/>
  <c r="T23" i="5"/>
  <c r="T7" i="5"/>
  <c r="T17" i="5"/>
  <c r="T26" i="5"/>
  <c r="T20" i="5"/>
  <c r="R34" i="5"/>
  <c r="S34" i="5" s="1"/>
  <c r="S33" i="5"/>
  <c r="T33" i="5" s="1"/>
  <c r="O40" i="5"/>
  <c r="R34" i="12"/>
  <c r="R35" i="12" s="1"/>
  <c r="R36" i="12" s="1"/>
  <c r="R37" i="12" s="1"/>
  <c r="R38" i="12" s="1"/>
  <c r="R39" i="12" s="1"/>
  <c r="R40" i="12" s="1"/>
  <c r="R41" i="12" s="1"/>
  <c r="R42" i="12" s="1"/>
  <c r="R43" i="12" s="1"/>
  <c r="R44" i="12" s="1"/>
  <c r="R45" i="12" s="1"/>
  <c r="R46" i="12" s="1"/>
  <c r="R47" i="12" s="1"/>
  <c r="R48" i="12" s="1"/>
  <c r="R49" i="12" s="1"/>
  <c r="R50" i="12" s="1"/>
  <c r="R51" i="12" s="1"/>
  <c r="R52" i="12" s="1"/>
  <c r="R53" i="12" s="1"/>
  <c r="R54" i="12" s="1"/>
  <c r="R55" i="12" s="1"/>
  <c r="R56" i="12" s="1"/>
  <c r="R57" i="12" s="1"/>
  <c r="R58" i="12" s="1"/>
  <c r="R59" i="12" s="1"/>
  <c r="R60" i="12" s="1"/>
  <c r="R61" i="12" s="1"/>
  <c r="R62" i="12" s="1"/>
  <c r="R63" i="12" s="1"/>
  <c r="R64" i="12" s="1"/>
  <c r="R65" i="12" s="1"/>
  <c r="R66" i="12" s="1"/>
  <c r="R67" i="12" s="1"/>
  <c r="R68" i="12" s="1"/>
  <c r="R69" i="12" s="1"/>
  <c r="R70" i="12" s="1"/>
  <c r="R71" i="12" s="1"/>
  <c r="R72" i="12" s="1"/>
  <c r="R73" i="12" s="1"/>
  <c r="R74" i="12" s="1"/>
  <c r="R75" i="12" s="1"/>
  <c r="R76" i="12" s="1"/>
  <c r="R77" i="12" s="1"/>
  <c r="R78" i="12" s="1"/>
  <c r="R79" i="12" s="1"/>
  <c r="R80" i="12" s="1"/>
  <c r="R81" i="12" s="1"/>
  <c r="R82" i="12" s="1"/>
  <c r="S33" i="12"/>
  <c r="R7" i="1"/>
  <c r="S7" i="1" s="1"/>
  <c r="R23" i="1"/>
  <c r="S23" i="1" s="1"/>
  <c r="R4" i="1"/>
  <c r="S4" i="1" s="1"/>
  <c r="T4" i="1" s="1"/>
  <c r="R20" i="1"/>
  <c r="S20" i="1" s="1"/>
  <c r="R5" i="1"/>
  <c r="S5" i="1" s="1"/>
  <c r="R21" i="1"/>
  <c r="S21" i="1" s="1"/>
  <c r="R10" i="1"/>
  <c r="S10" i="1" s="1"/>
  <c r="R26" i="1"/>
  <c r="S26" i="1" s="1"/>
  <c r="R11" i="1"/>
  <c r="S11" i="1" s="1"/>
  <c r="R27" i="1"/>
  <c r="S27" i="1" s="1"/>
  <c r="R8" i="1"/>
  <c r="S8" i="1" s="1"/>
  <c r="R24" i="1"/>
  <c r="S24" i="1" s="1"/>
  <c r="R9" i="1"/>
  <c r="S9" i="1" s="1"/>
  <c r="R25" i="1"/>
  <c r="S25" i="1" s="1"/>
  <c r="R14" i="1"/>
  <c r="S14" i="1" s="1"/>
  <c r="R22" i="1"/>
  <c r="S22" i="1" s="1"/>
  <c r="R15" i="1"/>
  <c r="S15" i="1" s="1"/>
  <c r="R31" i="1"/>
  <c r="S31" i="1" s="1"/>
  <c r="R12" i="1"/>
  <c r="S12" i="1" s="1"/>
  <c r="R28" i="1"/>
  <c r="S28" i="1" s="1"/>
  <c r="R13" i="1"/>
  <c r="S13" i="1" s="1"/>
  <c r="R29" i="1"/>
  <c r="S29" i="1" s="1"/>
  <c r="R18" i="1"/>
  <c r="S18" i="1" s="1"/>
  <c r="R19" i="1"/>
  <c r="S19" i="1" s="1"/>
  <c r="R33" i="1"/>
  <c r="R34" i="1" s="1"/>
  <c r="R35" i="1" s="1"/>
  <c r="R36" i="1" s="1"/>
  <c r="R37" i="1" s="1"/>
  <c r="R38" i="1" s="1"/>
  <c r="R39" i="1" s="1"/>
  <c r="R40" i="1" s="1"/>
  <c r="R41" i="1" s="1"/>
  <c r="R42" i="1" s="1"/>
  <c r="R43" i="1" s="1"/>
  <c r="R44" i="1" s="1"/>
  <c r="R45" i="1" s="1"/>
  <c r="R46" i="1" s="1"/>
  <c r="R47" i="1" s="1"/>
  <c r="R48" i="1" s="1"/>
  <c r="R49" i="1" s="1"/>
  <c r="R50" i="1" s="1"/>
  <c r="R51" i="1" s="1"/>
  <c r="R52" i="1" s="1"/>
  <c r="R53" i="1" s="1"/>
  <c r="R54" i="1" s="1"/>
  <c r="R55" i="1" s="1"/>
  <c r="R56" i="1" s="1"/>
  <c r="R57" i="1" s="1"/>
  <c r="R58" i="1" s="1"/>
  <c r="R59" i="1" s="1"/>
  <c r="R60" i="1" s="1"/>
  <c r="R61" i="1" s="1"/>
  <c r="R62" i="1" s="1"/>
  <c r="R63" i="1" s="1"/>
  <c r="R64" i="1" s="1"/>
  <c r="R65" i="1" s="1"/>
  <c r="R66" i="1" s="1"/>
  <c r="R67" i="1" s="1"/>
  <c r="R68" i="1" s="1"/>
  <c r="R69" i="1" s="1"/>
  <c r="R70" i="1" s="1"/>
  <c r="R71" i="1" s="1"/>
  <c r="R72" i="1" s="1"/>
  <c r="R73" i="1" s="1"/>
  <c r="R74" i="1" s="1"/>
  <c r="R75" i="1" s="1"/>
  <c r="R76" i="1" s="1"/>
  <c r="R77" i="1" s="1"/>
  <c r="R78" i="1" s="1"/>
  <c r="R79" i="1" s="1"/>
  <c r="R80" i="1" s="1"/>
  <c r="R81" i="1" s="1"/>
  <c r="R82" i="1" s="1"/>
  <c r="R16" i="1"/>
  <c r="S16" i="1" s="1"/>
  <c r="R32" i="1"/>
  <c r="S32" i="1" s="1"/>
  <c r="R17" i="1"/>
  <c r="S17" i="1" s="1"/>
  <c r="R6" i="1"/>
  <c r="S6" i="1" s="1"/>
  <c r="R30" i="1"/>
  <c r="S30" i="1" s="1"/>
  <c r="O34" i="1"/>
  <c r="Z34" i="3"/>
  <c r="T6" i="1" l="1"/>
  <c r="T4" i="12"/>
  <c r="T5" i="12" s="1"/>
  <c r="T6" i="12" s="1"/>
  <c r="T7" i="12" s="1"/>
  <c r="T8" i="12" s="1"/>
  <c r="T9" i="12" s="1"/>
  <c r="T10" i="12" s="1"/>
  <c r="T11" i="12" s="1"/>
  <c r="T12" i="12" s="1"/>
  <c r="T13" i="12" s="1"/>
  <c r="T14" i="12" s="1"/>
  <c r="T15" i="12" s="1"/>
  <c r="T16" i="12" s="1"/>
  <c r="T17" i="12" s="1"/>
  <c r="T18" i="12" s="1"/>
  <c r="T19" i="12" s="1"/>
  <c r="T20" i="12" s="1"/>
  <c r="T21" i="12" s="1"/>
  <c r="T22" i="12" s="1"/>
  <c r="T23" i="12" s="1"/>
  <c r="T24" i="12" s="1"/>
  <c r="T25" i="12" s="1"/>
  <c r="T26" i="12" s="1"/>
  <c r="T27" i="12" s="1"/>
  <c r="T28" i="12" s="1"/>
  <c r="T29" i="12" s="1"/>
  <c r="T30" i="12" s="1"/>
  <c r="T31" i="12" s="1"/>
  <c r="T32" i="12" s="1"/>
  <c r="T33" i="12" s="1"/>
  <c r="T30" i="1"/>
  <c r="T34" i="5"/>
  <c r="T13" i="1"/>
  <c r="T15" i="1"/>
  <c r="T9" i="1"/>
  <c r="T11" i="1"/>
  <c r="T5" i="1"/>
  <c r="T17" i="1"/>
  <c r="T19" i="1"/>
  <c r="T28" i="1"/>
  <c r="T22" i="1"/>
  <c r="T24" i="1"/>
  <c r="T26" i="1"/>
  <c r="T32" i="1"/>
  <c r="T7" i="1"/>
  <c r="T20" i="1"/>
  <c r="T18" i="1"/>
  <c r="T12" i="1"/>
  <c r="T14" i="1"/>
  <c r="T8" i="1"/>
  <c r="T10" i="1"/>
  <c r="T16" i="1"/>
  <c r="T29" i="1"/>
  <c r="T31" i="1"/>
  <c r="T25" i="1"/>
  <c r="T27" i="1"/>
  <c r="T21" i="1"/>
  <c r="T23" i="1"/>
  <c r="R35" i="5"/>
  <c r="R36" i="5" s="1"/>
  <c r="O41" i="5"/>
  <c r="S34" i="12"/>
  <c r="O35" i="1"/>
  <c r="S34" i="1"/>
  <c r="S33" i="1"/>
  <c r="T33" i="1" s="1"/>
  <c r="T34" i="12" l="1"/>
  <c r="T34" i="1"/>
  <c r="S35" i="5"/>
  <c r="T35" i="5" s="1"/>
  <c r="R37" i="5"/>
  <c r="S36" i="5"/>
  <c r="O42" i="5"/>
  <c r="S35" i="12"/>
  <c r="T35" i="12" s="1"/>
  <c r="O36" i="1"/>
  <c r="S35" i="1"/>
  <c r="T35" i="1" s="1"/>
  <c r="T36" i="5" l="1"/>
  <c r="R38" i="5"/>
  <c r="S37" i="5"/>
  <c r="T37" i="5" s="1"/>
  <c r="O43" i="5"/>
  <c r="S36" i="12"/>
  <c r="T36" i="12" s="1"/>
  <c r="S36" i="1"/>
  <c r="T36" i="1" s="1"/>
  <c r="O37" i="1"/>
  <c r="O44" i="5" l="1"/>
  <c r="R39" i="5"/>
  <c r="S38" i="5"/>
  <c r="T38" i="5" s="1"/>
  <c r="S37" i="12"/>
  <c r="T37" i="12" s="1"/>
  <c r="S37" i="1"/>
  <c r="T37" i="1" s="1"/>
  <c r="O38" i="1"/>
  <c r="R40" i="5" l="1"/>
  <c r="S39" i="5"/>
  <c r="T39" i="5" s="1"/>
  <c r="O45" i="5"/>
  <c r="S38" i="12"/>
  <c r="T38" i="12" s="1"/>
  <c r="S38" i="1"/>
  <c r="T38" i="1" s="1"/>
  <c r="O39" i="1"/>
  <c r="O46" i="5" l="1"/>
  <c r="R41" i="5"/>
  <c r="S40" i="5"/>
  <c r="T40" i="5" s="1"/>
  <c r="S39" i="12"/>
  <c r="T39" i="12" s="1"/>
  <c r="S39" i="1"/>
  <c r="T39" i="1" s="1"/>
  <c r="O40" i="1"/>
  <c r="R42" i="5" l="1"/>
  <c r="S41" i="5"/>
  <c r="T41" i="5" s="1"/>
  <c r="O47" i="5"/>
  <c r="S40" i="12"/>
  <c r="T40" i="12" s="1"/>
  <c r="S40" i="1"/>
  <c r="T40" i="1" s="1"/>
  <c r="O41" i="1"/>
  <c r="O48" i="5" l="1"/>
  <c r="R43" i="5"/>
  <c r="S42" i="5"/>
  <c r="T42" i="5" s="1"/>
  <c r="S41" i="12"/>
  <c r="T41" i="12" s="1"/>
  <c r="S41" i="1"/>
  <c r="T41" i="1" s="1"/>
  <c r="O42" i="1"/>
  <c r="R44" i="5" l="1"/>
  <c r="S43" i="5"/>
  <c r="T43" i="5" s="1"/>
  <c r="O49" i="5"/>
  <c r="S42" i="12"/>
  <c r="T42" i="12" s="1"/>
  <c r="S42" i="1"/>
  <c r="T42" i="1" s="1"/>
  <c r="O43" i="1"/>
  <c r="O50" i="5" l="1"/>
  <c r="R45" i="5"/>
  <c r="S44" i="5"/>
  <c r="T44" i="5" s="1"/>
  <c r="S43" i="12"/>
  <c r="T43" i="12" s="1"/>
  <c r="S43" i="1"/>
  <c r="T43" i="1" s="1"/>
  <c r="O44" i="1"/>
  <c r="R46" i="5" l="1"/>
  <c r="S45" i="5"/>
  <c r="T45" i="5" s="1"/>
  <c r="O51" i="5"/>
  <c r="S44" i="12"/>
  <c r="T44" i="12" s="1"/>
  <c r="S44" i="1"/>
  <c r="T44" i="1" s="1"/>
  <c r="O45" i="1"/>
  <c r="O52" i="5" l="1"/>
  <c r="R47" i="5"/>
  <c r="S46" i="5"/>
  <c r="T46" i="5" s="1"/>
  <c r="S45" i="12"/>
  <c r="T45" i="12" s="1"/>
  <c r="S45" i="1"/>
  <c r="T45" i="1" s="1"/>
  <c r="O46" i="1"/>
  <c r="R48" i="5" l="1"/>
  <c r="S47" i="5"/>
  <c r="T47" i="5" s="1"/>
  <c r="O53" i="5"/>
  <c r="S46" i="12"/>
  <c r="T46" i="12" s="1"/>
  <c r="S46" i="1"/>
  <c r="T46" i="1" s="1"/>
  <c r="O47" i="1"/>
  <c r="O54" i="5" l="1"/>
  <c r="R49" i="5"/>
  <c r="S48" i="5"/>
  <c r="T48" i="5" s="1"/>
  <c r="S47" i="12"/>
  <c r="T47" i="12" s="1"/>
  <c r="S47" i="1"/>
  <c r="T47" i="1" s="1"/>
  <c r="O48" i="1"/>
  <c r="R50" i="5" l="1"/>
  <c r="S49" i="5"/>
  <c r="T49" i="5" s="1"/>
  <c r="O55" i="5"/>
  <c r="S48" i="12"/>
  <c r="T48" i="12" s="1"/>
  <c r="S48" i="1"/>
  <c r="T48" i="1" s="1"/>
  <c r="O49" i="1"/>
  <c r="R51" i="5" l="1"/>
  <c r="S50" i="5"/>
  <c r="T50" i="5" s="1"/>
  <c r="O56" i="5"/>
  <c r="S49" i="12"/>
  <c r="T49" i="12" s="1"/>
  <c r="S49" i="1"/>
  <c r="T49" i="1" s="1"/>
  <c r="O50" i="1"/>
  <c r="O57" i="5" l="1"/>
  <c r="R52" i="5"/>
  <c r="S51" i="5"/>
  <c r="T51" i="5" s="1"/>
  <c r="S50" i="12"/>
  <c r="T50" i="12" s="1"/>
  <c r="S50" i="1"/>
  <c r="T50" i="1" s="1"/>
  <c r="O51" i="1"/>
  <c r="R53" i="5" l="1"/>
  <c r="S52" i="5"/>
  <c r="T52" i="5" s="1"/>
  <c r="O58" i="5"/>
  <c r="S51" i="12"/>
  <c r="T51" i="12" s="1"/>
  <c r="S51" i="1"/>
  <c r="T51" i="1" s="1"/>
  <c r="O52" i="1"/>
  <c r="O59" i="5" l="1"/>
  <c r="R54" i="5"/>
  <c r="S53" i="5"/>
  <c r="T53" i="5" s="1"/>
  <c r="S52" i="12"/>
  <c r="T52" i="12" s="1"/>
  <c r="S52" i="1"/>
  <c r="T52" i="1" s="1"/>
  <c r="O53" i="1"/>
  <c r="R55" i="5" l="1"/>
  <c r="S54" i="5"/>
  <c r="T54" i="5" s="1"/>
  <c r="O60" i="5"/>
  <c r="S53" i="12"/>
  <c r="T53" i="12" s="1"/>
  <c r="S53" i="1"/>
  <c r="T53" i="1" s="1"/>
  <c r="O54" i="1"/>
  <c r="R56" i="5" l="1"/>
  <c r="S55" i="5"/>
  <c r="T55" i="5" s="1"/>
  <c r="O61" i="5"/>
  <c r="S54" i="12"/>
  <c r="T54" i="12" s="1"/>
  <c r="S54" i="1"/>
  <c r="T54" i="1" s="1"/>
  <c r="O55" i="1"/>
  <c r="O62" i="5" l="1"/>
  <c r="R57" i="5"/>
  <c r="S56" i="5"/>
  <c r="T56" i="5" s="1"/>
  <c r="S55" i="12"/>
  <c r="T55" i="12" s="1"/>
  <c r="S55" i="1"/>
  <c r="T55" i="1" s="1"/>
  <c r="O56" i="1"/>
  <c r="R58" i="5" l="1"/>
  <c r="S57" i="5"/>
  <c r="T57" i="5" s="1"/>
  <c r="O63" i="5"/>
  <c r="S56" i="12"/>
  <c r="T56" i="12" s="1"/>
  <c r="S56" i="1"/>
  <c r="T56" i="1" s="1"/>
  <c r="O57" i="1"/>
  <c r="O64" i="5" l="1"/>
  <c r="R59" i="5"/>
  <c r="S58" i="5"/>
  <c r="T58" i="5" s="1"/>
  <c r="S57" i="12"/>
  <c r="T57" i="12" s="1"/>
  <c r="S57" i="1"/>
  <c r="T57" i="1" s="1"/>
  <c r="O58" i="1"/>
  <c r="R60" i="5" l="1"/>
  <c r="S59" i="5"/>
  <c r="T59" i="5" s="1"/>
  <c r="O65" i="5"/>
  <c r="S58" i="12"/>
  <c r="T58" i="12" s="1"/>
  <c r="S58" i="1"/>
  <c r="T58" i="1" s="1"/>
  <c r="O59" i="1"/>
  <c r="O66" i="5" l="1"/>
  <c r="R61" i="5"/>
  <c r="S60" i="5"/>
  <c r="T60" i="5" s="1"/>
  <c r="S59" i="12"/>
  <c r="T59" i="12" s="1"/>
  <c r="S59" i="1"/>
  <c r="T59" i="1" s="1"/>
  <c r="O60" i="1"/>
  <c r="R62" i="5" l="1"/>
  <c r="S61" i="5"/>
  <c r="T61" i="5" s="1"/>
  <c r="O67" i="5"/>
  <c r="S60" i="12"/>
  <c r="T60" i="12" s="1"/>
  <c r="S60" i="1"/>
  <c r="T60" i="1" s="1"/>
  <c r="O61" i="1"/>
  <c r="O68" i="5" l="1"/>
  <c r="R63" i="5"/>
  <c r="S62" i="5"/>
  <c r="T62" i="5" s="1"/>
  <c r="S61" i="12"/>
  <c r="T61" i="12" s="1"/>
  <c r="S61" i="1"/>
  <c r="T61" i="1" s="1"/>
  <c r="O62" i="1"/>
  <c r="R64" i="5" l="1"/>
  <c r="S63" i="5"/>
  <c r="T63" i="5" s="1"/>
  <c r="O69" i="5"/>
  <c r="S62" i="12"/>
  <c r="T62" i="12" s="1"/>
  <c r="S62" i="1"/>
  <c r="T62" i="1" s="1"/>
  <c r="O63" i="1"/>
  <c r="R65" i="5" l="1"/>
  <c r="S64" i="5"/>
  <c r="T64" i="5" s="1"/>
  <c r="O70" i="5"/>
  <c r="S63" i="12"/>
  <c r="T63" i="12" s="1"/>
  <c r="S63" i="1"/>
  <c r="T63" i="1" s="1"/>
  <c r="O64" i="1"/>
  <c r="O71" i="5" l="1"/>
  <c r="R66" i="5"/>
  <c r="S65" i="5"/>
  <c r="T65" i="5" s="1"/>
  <c r="S64" i="12"/>
  <c r="T64" i="12" s="1"/>
  <c r="S64" i="1"/>
  <c r="T64" i="1" s="1"/>
  <c r="O65" i="1"/>
  <c r="R67" i="5" l="1"/>
  <c r="S66" i="5"/>
  <c r="T66" i="5" s="1"/>
  <c r="O72" i="5"/>
  <c r="S65" i="12"/>
  <c r="T65" i="12" s="1"/>
  <c r="S65" i="1"/>
  <c r="T65" i="1" s="1"/>
  <c r="O66" i="1"/>
  <c r="O73" i="5" l="1"/>
  <c r="R68" i="5"/>
  <c r="S67" i="5"/>
  <c r="T67" i="5" s="1"/>
  <c r="S66" i="12"/>
  <c r="T66" i="12" s="1"/>
  <c r="S66" i="1"/>
  <c r="T66" i="1" s="1"/>
  <c r="O67" i="1"/>
  <c r="R69" i="5" l="1"/>
  <c r="S68" i="5"/>
  <c r="T68" i="5" s="1"/>
  <c r="O74" i="5"/>
  <c r="S67" i="12"/>
  <c r="T67" i="12" s="1"/>
  <c r="S67" i="1"/>
  <c r="T67" i="1" s="1"/>
  <c r="O68" i="1"/>
  <c r="R70" i="5" l="1"/>
  <c r="S69" i="5"/>
  <c r="T69" i="5" s="1"/>
  <c r="O75" i="5"/>
  <c r="S68" i="12"/>
  <c r="T68" i="12" s="1"/>
  <c r="S68" i="1"/>
  <c r="T68" i="1" s="1"/>
  <c r="O69" i="1"/>
  <c r="O76" i="5" l="1"/>
  <c r="R71" i="5"/>
  <c r="S70" i="5"/>
  <c r="T70" i="5" s="1"/>
  <c r="S69" i="12"/>
  <c r="T69" i="12" s="1"/>
  <c r="S69" i="1"/>
  <c r="T69" i="1" s="1"/>
  <c r="O70" i="1"/>
  <c r="R72" i="5" l="1"/>
  <c r="S71" i="5"/>
  <c r="T71" i="5" s="1"/>
  <c r="O77" i="5"/>
  <c r="S70" i="12"/>
  <c r="T70" i="12" s="1"/>
  <c r="S70" i="1"/>
  <c r="T70" i="1" s="1"/>
  <c r="O71" i="1"/>
  <c r="O78" i="5" l="1"/>
  <c r="R73" i="5"/>
  <c r="S72" i="5"/>
  <c r="S71" i="12"/>
  <c r="T71" i="12" s="1"/>
  <c r="S71" i="1"/>
  <c r="T71" i="1" s="1"/>
  <c r="O72" i="1"/>
  <c r="T72" i="5" l="1"/>
  <c r="R74" i="5"/>
  <c r="S73" i="5"/>
  <c r="T73" i="5" s="1"/>
  <c r="O79" i="5"/>
  <c r="S72" i="12"/>
  <c r="T72" i="12" s="1"/>
  <c r="S72" i="1"/>
  <c r="O73" i="1"/>
  <c r="T72" i="1" l="1"/>
  <c r="O80" i="5"/>
  <c r="R75" i="5"/>
  <c r="S74" i="5"/>
  <c r="T74" i="5" s="1"/>
  <c r="S73" i="12"/>
  <c r="T73" i="12" s="1"/>
  <c r="S73" i="1"/>
  <c r="T73" i="1" s="1"/>
  <c r="O74" i="1"/>
  <c r="R76" i="5" l="1"/>
  <c r="S75" i="5"/>
  <c r="T75" i="5" s="1"/>
  <c r="O81" i="5"/>
  <c r="S74" i="12"/>
  <c r="T74" i="12" s="1"/>
  <c r="S74" i="1"/>
  <c r="T74" i="1" s="1"/>
  <c r="O75" i="1"/>
  <c r="O82" i="5" l="1"/>
  <c r="R77" i="5"/>
  <c r="S76" i="5"/>
  <c r="T76" i="5" s="1"/>
  <c r="S75" i="12"/>
  <c r="T75" i="12" s="1"/>
  <c r="S75" i="1"/>
  <c r="T75" i="1" s="1"/>
  <c r="O76" i="1"/>
  <c r="R78" i="5" l="1"/>
  <c r="S77" i="5"/>
  <c r="T77" i="5" s="1"/>
  <c r="S76" i="12"/>
  <c r="T76" i="12" s="1"/>
  <c r="S76" i="1"/>
  <c r="T76" i="1" s="1"/>
  <c r="O77" i="1"/>
  <c r="R79" i="5" l="1"/>
  <c r="S78" i="5"/>
  <c r="T78" i="5" s="1"/>
  <c r="S77" i="12"/>
  <c r="T77" i="12" s="1"/>
  <c r="S77" i="1"/>
  <c r="T77" i="1" s="1"/>
  <c r="O78" i="1"/>
  <c r="R80" i="5" l="1"/>
  <c r="S79" i="5"/>
  <c r="T79" i="5" s="1"/>
  <c r="S78" i="12"/>
  <c r="T78" i="12" s="1"/>
  <c r="S78" i="1"/>
  <c r="T78" i="1" s="1"/>
  <c r="O79" i="1"/>
  <c r="R81" i="5" l="1"/>
  <c r="S80" i="5"/>
  <c r="T80" i="5" s="1"/>
  <c r="S79" i="12"/>
  <c r="T79" i="12" s="1"/>
  <c r="S79" i="1"/>
  <c r="T79" i="1" s="1"/>
  <c r="O80" i="1"/>
  <c r="R82" i="5" l="1"/>
  <c r="S82" i="5" s="1"/>
  <c r="S81" i="5"/>
  <c r="T81" i="5" s="1"/>
  <c r="S80" i="12"/>
  <c r="T80" i="12" s="1"/>
  <c r="S80" i="1"/>
  <c r="T80" i="1" s="1"/>
  <c r="O81" i="1"/>
  <c r="T82" i="5" l="1"/>
  <c r="T83" i="5"/>
  <c r="S82" i="12"/>
  <c r="S81" i="12"/>
  <c r="T81" i="12" s="1"/>
  <c r="S81" i="1"/>
  <c r="T81" i="1" s="1"/>
  <c r="O82" i="1"/>
  <c r="S82" i="1" s="1"/>
  <c r="T82" i="12" l="1"/>
  <c r="T83" i="12" s="1"/>
  <c r="T84" i="12" s="1"/>
  <c r="T85" i="12" s="1"/>
  <c r="T86" i="12" s="1"/>
  <c r="T87" i="12" s="1"/>
  <c r="T88" i="12" s="1"/>
  <c r="T89" i="12" s="1"/>
  <c r="T90" i="12" s="1"/>
  <c r="T91" i="12" s="1"/>
  <c r="T92" i="12" s="1"/>
  <c r="T93" i="12" s="1"/>
  <c r="T94" i="12" s="1"/>
  <c r="T95" i="12" s="1"/>
  <c r="T96" i="12" s="1"/>
  <c r="T97" i="12" s="1"/>
  <c r="T98" i="12" s="1"/>
  <c r="T99" i="12" s="1"/>
  <c r="T100" i="12" s="1"/>
  <c r="T101" i="12" s="1"/>
  <c r="T102" i="12" s="1"/>
  <c r="T103" i="12" s="1"/>
  <c r="T82" i="1"/>
  <c r="T83" i="1"/>
</calcChain>
</file>

<file path=xl/sharedStrings.xml><?xml version="1.0" encoding="utf-8"?>
<sst xmlns="http://schemas.openxmlformats.org/spreadsheetml/2006/main" count="180" uniqueCount="70">
  <si>
    <t>Provincial Bonds</t>
  </si>
  <si>
    <t>Corporate Bonds</t>
  </si>
  <si>
    <t>Mortgages</t>
  </si>
  <si>
    <t>Privates</t>
  </si>
  <si>
    <t xml:space="preserve"> </t>
  </si>
  <si>
    <r>
      <t xml:space="preserve">Les onglets nommés </t>
    </r>
    <r>
      <rPr>
        <b/>
        <sz val="12"/>
        <color theme="1"/>
        <rFont val="Calibri"/>
        <family val="2"/>
      </rPr>
      <t>Courbe de référence illiquide</t>
    </r>
    <r>
      <rPr>
        <sz val="12"/>
        <color theme="1"/>
        <rFont val="Calibri"/>
        <family val="2"/>
      </rPr>
      <t xml:space="preserve"> et </t>
    </r>
    <r>
      <rPr>
        <b/>
        <sz val="12"/>
        <color theme="1"/>
        <rFont val="Calibri"/>
        <family val="2"/>
      </rPr>
      <t>Courbe de référence liquide</t>
    </r>
    <r>
      <rPr>
        <sz val="12"/>
        <color theme="1"/>
        <rFont val="Calibri"/>
        <family val="2"/>
      </rPr>
      <t xml:space="preserve"> illustrent les deux courbes de référence</t>
    </r>
    <r>
      <rPr>
        <sz val="12"/>
        <rFont val="Calibri"/>
        <family val="2"/>
      </rPr>
      <t xml:space="preserve">.
Pour la courbe de référence illiquide, le portefeuille de référence repose sur 100 % des obligations canadiennes de qualité.
Pour la courbe de référence liquide, le portefeuille de référence repose sur 100 % des obligations provinciales.
</t>
    </r>
    <r>
      <rPr>
        <sz val="12"/>
        <color rgb="FFFF0000"/>
        <rFont val="Calibri"/>
        <family val="2"/>
      </rPr>
      <t xml:space="preserve">
</t>
    </r>
    <r>
      <rPr>
        <sz val="12"/>
        <rFont val="Calibri"/>
        <family val="2"/>
      </rPr>
      <t>Pour les obligations provinciales et les obligations de qualité, les écarts sont accessibles au public. Les données de Bloomberg au 31 mars 2020 ont été utilisées dans la présente feuille de calcul.</t>
    </r>
  </si>
  <si>
    <t>Données d'entrée</t>
  </si>
  <si>
    <t>Échéance (années)</t>
  </si>
  <si>
    <t>31 mars 2020</t>
  </si>
  <si>
    <t>Écarts (%)</t>
  </si>
  <si>
    <t>Oblig. provinciales</t>
  </si>
  <si>
    <t>Oblig. de sociétés</t>
  </si>
  <si>
    <t>Taux (%)</t>
  </si>
  <si>
    <t>Paramètres</t>
  </si>
  <si>
    <t>Type de taux d'intérêt</t>
  </si>
  <si>
    <t>Durée de la période observable (années)</t>
  </si>
  <si>
    <t>Ratio de l'écart de liquidité*</t>
  </si>
  <si>
    <t>Constante de prime de liquidité</t>
  </si>
  <si>
    <t>Prime de liquidité ultime</t>
  </si>
  <si>
    <t xml:space="preserve">Méthode d'interpolation </t>
  </si>
  <si>
    <t>* (1 - ratio d'écart de liquidité) = ajustement au titre du risque de crédit</t>
  </si>
  <si>
    <t>Taux au pair du gouv. du Canada</t>
  </si>
  <si>
    <t>Comp. du portefeuille</t>
  </si>
  <si>
    <t>Écart pondéré</t>
  </si>
  <si>
    <t>Construction de la courbe de référence illiquide</t>
  </si>
  <si>
    <t>Année</t>
  </si>
  <si>
    <t>Courbe sans risque</t>
  </si>
  <si>
    <t>Écart de liquidité</t>
  </si>
  <si>
    <t>Prime de liquidité additionnelle</t>
  </si>
  <si>
    <t>Prime de liquidité</t>
  </si>
  <si>
    <t>Courbe de référence illiquide à terme</t>
  </si>
  <si>
    <t>Au comptant</t>
  </si>
  <si>
    <t>Courbe d'écart</t>
  </si>
  <si>
    <t>Échéance</t>
  </si>
  <si>
    <t>Taux au pair</t>
  </si>
  <si>
    <t>Actualisation</t>
  </si>
  <si>
    <t>Coupons à VA</t>
  </si>
  <si>
    <t>Taux au comptant à 6 mois</t>
  </si>
  <si>
    <t>Taux annuel au comptant</t>
  </si>
  <si>
    <t>Taux annuel à terme</t>
  </si>
  <si>
    <t>Écart</t>
  </si>
  <si>
    <t>À terme</t>
  </si>
  <si>
    <t>Taux sans risque ultime</t>
  </si>
  <si>
    <t>Méthode d'interpolation</t>
  </si>
  <si>
    <t>* (1 - ratio de l'écart de liquidité) = ajustement au titre du risque de crédit</t>
  </si>
  <si>
    <t>Construction de la courbe de référence liquide</t>
  </si>
  <si>
    <t>Courbe de référence liquide à terme</t>
  </si>
  <si>
    <t>Méthode bootstrap - Les données de la courbe de référence illiquide sont utilisées</t>
  </si>
  <si>
    <t>Méthode bootstrap - Les données sur la courbe de référence liquide sont utilisées</t>
  </si>
  <si>
    <t>* (1 - ratio de l'écart de liquidit.) = ajustement au titre du risque de crédit</t>
  </si>
  <si>
    <t>Écart 
pondéré</t>
  </si>
  <si>
    <t>Titres hypothécaires privés</t>
  </si>
  <si>
    <t xml:space="preserve"> Mettre linear en français et mettre le texte des cases qui s'affichent en français</t>
  </si>
  <si>
    <t>Construction de la courbe d'actualisation IFRS 17</t>
  </si>
  <si>
    <t>Comp. du portefeuille de référence IFRS 17</t>
  </si>
  <si>
    <t>Méthode bootstrap - Courbe d’actualisation IFRS 17</t>
  </si>
  <si>
    <r>
      <t xml:space="preserve">L’onglet </t>
    </r>
    <r>
      <rPr>
        <b/>
        <sz val="12"/>
        <rFont val="Calibri"/>
        <family val="2"/>
      </rPr>
      <t>Courbe d’actualisation IFRS 17</t>
    </r>
    <r>
      <rPr>
        <sz val="12"/>
        <rFont val="Calibri"/>
        <family val="2"/>
      </rPr>
      <t xml:space="preserve"> comprend toutes les données d’entrée nécessaires pour construire une courbe d’actualisation selon IFRS 17. 
Ces données d’entrée comprennent :
(1) Les paramètres pour le type de taux d’intérêt (soit « au comptant » ou « à terme »), le taux ultime sans risque, le moment d'application du taux ultime, le ratio d’écart de liquidité, la constante de la prime de liquidité et la prime de liquidité ultime.
(2) La composition de l’actif du portefeuille de référence IFRS 17. On s’attend à ce que la composition de l’actif total représente 100 %.
(3) Les écarts pour les obligations provinciales, les obligations de sociétés, les prêts hypothécaires et les titres hypothécaires privés. Par exemple, les obligations de sociétés sont une combinaison d’obligations de qualité (A à BBB). Les écarts pour les obligations de sociétés sont des moyennes pondérées selon un portefeuille de référence particulier pour tenir compte des obligations de qualité.  
Les champs relatifs aux données d’entrée sont ombrés en vert.</t>
    </r>
  </si>
  <si>
    <t xml:space="preserve">Veuillez noter qu'aux fins de simplicité dans la présente feuille de calcul, les paramètres « Durée de la période observable » et « Méthode d’interpolation » sont fixes. À l’instar de la construction des courbes de référence, une méthode d’interpolation linéaire est utilisée entre le dernier point observable (c.‑à‑d. l’échéance de 30 ans) et le moment d'application du taux ultime. En outre, la période observable a été fixée à 30 ans. Les sociétés doivent prendre des décisions sur ces deux paramètres lorsqu’elles construisent leurs propres courbes. La section 2.3.2 du chapitre 1 de l’ébauche de note éducative de l’ICA sur le taux d’actualisation IFRS 17 présente quelques méthodes d’interpolation. Des conseils relatifs à la période observable figurent à la section 1 du chapitre 1 de l’ébauche de note éducative.  </t>
  </si>
  <si>
    <t>Le calcul bootstrap utilisé pour déterminer la courbe d'actualisation IFRS 17 dans la présente feuille de calcul est une moyenne pondérée de l'écart basé sur le portefeuile de référence. Par la suite, le bootstrap de de cette moyenne pondérée de l'écart est déterminé. Cette approche donne des résultats légèrement différents de ceux obtenus en effectuant un bootstrap distinct pour chacun des éléments d'actif qui sont incorporés par la suite dans le calcul de moyenne pondérée de l'écart/prime d'illiquidité. Il incombe à l'assureur de chosir la méthode à utiliser. 
Pour les prêts hypothécaires et les titres hypothécaires privés, les écarts ne sont pas accessibles au public. Des données-échantillons sont incluses dans la présente feuille de calcul.</t>
  </si>
  <si>
    <t>Il s’agit d’un outil permettant de construire les courbes de référence liquide et illiquide décrites dans l’ébauche de note éducative sur le taux d’actualisation de l’IFRS 17 à l’aide de l’approche ascendante.</t>
  </si>
  <si>
    <r>
      <t xml:space="preserve">L'onglet </t>
    </r>
    <r>
      <rPr>
        <b/>
        <sz val="12"/>
        <rFont val="Calibri"/>
        <family val="2"/>
      </rPr>
      <t>« Données d’entrée des courbes de référence »</t>
    </r>
    <r>
      <rPr>
        <sz val="12"/>
        <rFont val="Calibri"/>
        <family val="2"/>
      </rPr>
      <t xml:space="preserve"> comprend toutes les données nécessaires pour construire les courbes de référence. Les sociétés doivent saisir la courbe sans risque et les écarts de fin de trimestre dans la période observable. 
Ces données d’entrée comprennent :
(1) Les taux au pair du gouvernement du Canada 
(2) Les écarts des obligations provinciales et des obligations de sociétés. Les obligations de sociétés sont une combinaison d’obligations de sociétés de qualité (A à BBB). La moyenne pondérée des écarts entre les années 0 et 30 est déterminée à l'aide des écarts du marché à la date d'évaluation basés sur un indice d'obligations de sociétés de qualité reconnu par un assureur. Un exemple d'un tel indice au Canada pourrait être le FTSE TMX All Corporate Bond Index (indice de toutes les obligations de sociétés). Une bonne pratique serait de recourir à un indice publié par un fournisse</t>
    </r>
    <r>
      <rPr>
        <b/>
        <sz val="12"/>
        <rFont val="Calibri"/>
        <family val="2"/>
      </rPr>
      <t>u</t>
    </r>
    <r>
      <rPr>
        <sz val="12"/>
        <rFont val="Calibri"/>
        <family val="2"/>
      </rPr>
      <t>r d'information fiable et de l'utiliser de façon uniforme d'une période à l'autre.  
Les champs relatifs aux données d’entrée sont ombrés en vert.</t>
    </r>
  </si>
  <si>
    <t>Courbe de référence liquide au comptant</t>
  </si>
  <si>
    <t>Linéaire</t>
  </si>
  <si>
    <t>Taux utilisés</t>
  </si>
  <si>
    <t xml:space="preserve">Convertis en taux </t>
  </si>
  <si>
    <t>Durée du taux ultime (années)</t>
  </si>
  <si>
    <t>=&gt; Taux sans risque + 0,50 % + 75 % de l'écart des oblig. canadiennes de société de qualité</t>
  </si>
  <si>
    <t>=&gt; taux sans risque + 90 % de l'écart des oblig. provinciales</t>
  </si>
  <si>
    <t>Prêts hypothécaires</t>
  </si>
  <si>
    <t xml:space="preserve">La méthode d'interpolation linéaire est utilisée. Les sociétés peuvent utliser d'autres méthodes d'interpolation lorsqu'elles construisent leur propre courbe d'actualisation.  Veuillez vous référer à la section 2.3.2 Techniques du chapitre 1 de l'éauche de note éducative sur les taux d'actualisation en vertu d'IFRS 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</si>
</sst>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0"/>
    <numFmt numFmtId="166" formatCode="0.000%"/>
    <numFmt numFmtId="167" formatCode="[$-F800]dddd\,\ mmmm\ dd\,\ yyyy"/>
  </numFmts>
  <fonts count="20" x14ac:knownFonts="1">
    <font>
      <sz val="11"/>
      <color theme="1"/>
      <name val="Calibri"/>
      <family val="2"/>
    </font>
    <font>
      <sz val="11"/>
      <color theme="1"/>
      <name val="Calibri"/>
      <family val="2"/>
      <scheme val="minor"/>
    </font>
    <font>
      <b/>
      <sz val="11"/>
      <color theme="1"/>
      <name val="Calibri"/>
      <family val="2"/>
    </font>
    <font>
      <sz val="11"/>
      <color theme="1"/>
      <name val="Calibri"/>
      <family val="2"/>
    </font>
    <font>
      <b/>
      <sz val="14"/>
      <color theme="1"/>
      <name val="Calibri"/>
      <family val="2"/>
    </font>
    <font>
      <sz val="11"/>
      <color theme="0" tint="-0.249977111117893"/>
      <name val="Calibri"/>
      <family val="2"/>
    </font>
    <font>
      <i/>
      <sz val="8"/>
      <color theme="1"/>
      <name val="Calibri"/>
      <family val="2"/>
    </font>
    <font>
      <sz val="12"/>
      <color theme="1"/>
      <name val="Times New Roman"/>
      <family val="1"/>
    </font>
    <font>
      <sz val="12"/>
      <color theme="1"/>
      <name val="Calibri"/>
      <family val="2"/>
    </font>
    <font>
      <sz val="12"/>
      <color rgb="FFFF0000"/>
      <name val="Calibri"/>
      <family val="2"/>
    </font>
    <font>
      <b/>
      <sz val="12"/>
      <color theme="1"/>
      <name val="Calibri"/>
      <family val="2"/>
    </font>
    <font>
      <b/>
      <sz val="11"/>
      <color theme="1"/>
      <name val="Calibri"/>
      <family val="2"/>
      <scheme val="minor"/>
    </font>
    <font>
      <sz val="12"/>
      <name val="Calibri"/>
      <family val="2"/>
    </font>
    <font>
      <b/>
      <sz val="11"/>
      <name val="Calibri"/>
      <family val="2"/>
    </font>
    <font>
      <sz val="11"/>
      <name val="Calibri"/>
      <family val="2"/>
    </font>
    <font>
      <sz val="11"/>
      <name val="Calibri"/>
      <family val="2"/>
      <scheme val="minor"/>
    </font>
    <font>
      <sz val="11"/>
      <color rgb="FFFF0000"/>
      <name val="Calibri"/>
      <family val="2"/>
    </font>
    <font>
      <b/>
      <sz val="11"/>
      <color rgb="FFFF0000"/>
      <name val="Calibri"/>
      <family val="2"/>
    </font>
    <font>
      <b/>
      <sz val="14"/>
      <color rgb="FFFF0000"/>
      <name val="Calibri"/>
      <family val="2"/>
    </font>
    <font>
      <b/>
      <sz val="12"/>
      <name val="Calibri"/>
      <family val="2"/>
    </font>
  </fonts>
  <fills count="16">
    <fill>
      <patternFill patternType="none"/>
    </fill>
    <fill>
      <patternFill patternType="gray125"/>
    </fill>
    <fill>
      <patternFill patternType="solid">
        <fgColor rgb="FF99FFCC"/>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FF00"/>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7" tint="0.59999389629810485"/>
        <bgColor indexed="64"/>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auto="1"/>
      </right>
      <top style="medium">
        <color indexed="64"/>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hair">
        <color auto="1"/>
      </left>
      <right style="thin">
        <color auto="1"/>
      </right>
      <top style="thin">
        <color auto="1"/>
      </top>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thin">
        <color auto="1"/>
      </left>
      <right style="hair">
        <color auto="1"/>
      </right>
      <top style="hair">
        <color auto="1"/>
      </top>
      <bottom style="hair">
        <color auto="1"/>
      </bottom>
      <diagonal/>
    </border>
    <border>
      <left style="thin">
        <color auto="1"/>
      </left>
      <right style="hair">
        <color auto="1"/>
      </right>
      <top style="thin">
        <color auto="1"/>
      </top>
      <bottom/>
      <diagonal/>
    </border>
    <border>
      <left style="thin">
        <color auto="1"/>
      </left>
      <right style="hair">
        <color auto="1"/>
      </right>
      <top style="hair">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right/>
      <top style="thin">
        <color auto="1"/>
      </top>
      <bottom/>
      <diagonal/>
    </border>
    <border>
      <left/>
      <right/>
      <top/>
      <bottom style="thin">
        <color auto="1"/>
      </bottom>
      <diagonal/>
    </border>
    <border>
      <left/>
      <right style="thin">
        <color auto="1"/>
      </right>
      <top/>
      <bottom style="thin">
        <color auto="1"/>
      </bottom>
      <diagonal/>
    </border>
  </borders>
  <cellStyleXfs count="2">
    <xf numFmtId="0" fontId="0" fillId="0" borderId="0"/>
    <xf numFmtId="9" fontId="3" fillId="0" borderId="0" applyFont="0" applyFill="0" applyBorder="0" applyAlignment="0" applyProtection="0"/>
  </cellStyleXfs>
  <cellXfs count="152">
    <xf numFmtId="0" fontId="0" fillId="0" borderId="0" xfId="0"/>
    <xf numFmtId="0" fontId="2" fillId="0" borderId="0" xfId="0" applyFont="1"/>
    <xf numFmtId="0" fontId="4" fillId="0" borderId="0" xfId="0" applyFont="1"/>
    <xf numFmtId="0" fontId="2" fillId="0" borderId="0" xfId="0" applyFont="1" applyAlignment="1">
      <alignment horizontal="center"/>
    </xf>
    <xf numFmtId="0" fontId="5" fillId="0" borderId="0" xfId="0" applyFont="1"/>
    <xf numFmtId="164" fontId="0" fillId="3" borderId="1" xfId="0" applyNumberFormat="1" applyFill="1" applyBorder="1"/>
    <xf numFmtId="164" fontId="0" fillId="3" borderId="4" xfId="0" applyNumberFormat="1" applyFill="1" applyBorder="1"/>
    <xf numFmtId="164" fontId="0" fillId="3" borderId="6" xfId="0" applyNumberFormat="1" applyFill="1" applyBorder="1"/>
    <xf numFmtId="164" fontId="0" fillId="0" borderId="2" xfId="0" applyNumberFormat="1" applyBorder="1"/>
    <xf numFmtId="164" fontId="0" fillId="1" borderId="2" xfId="0" applyNumberFormat="1" applyFill="1" applyBorder="1"/>
    <xf numFmtId="164" fontId="0" fillId="0" borderId="0" xfId="0" applyNumberFormat="1"/>
    <xf numFmtId="164" fontId="0" fillId="0" borderId="7" xfId="0" applyNumberFormat="1" applyBorder="1"/>
    <xf numFmtId="164" fontId="0" fillId="7" borderId="4" xfId="0" applyNumberFormat="1" applyFill="1" applyBorder="1"/>
    <xf numFmtId="0" fontId="0" fillId="0" borderId="9" xfId="0" applyBorder="1"/>
    <xf numFmtId="0" fontId="0" fillId="0" borderId="11" xfId="0" applyBorder="1"/>
    <xf numFmtId="0" fontId="0" fillId="0" borderId="13" xfId="0" applyBorder="1"/>
    <xf numFmtId="10" fontId="0" fillId="0" borderId="0" xfId="1" applyNumberFormat="1" applyFont="1"/>
    <xf numFmtId="0" fontId="2" fillId="0" borderId="0" xfId="0" applyFont="1" applyAlignment="1">
      <alignment horizontal="right"/>
    </xf>
    <xf numFmtId="164" fontId="0" fillId="0" borderId="5" xfId="0" applyNumberFormat="1" applyBorder="1"/>
    <xf numFmtId="164" fontId="0" fillId="0" borderId="8" xfId="0" applyNumberFormat="1" applyBorder="1"/>
    <xf numFmtId="164" fontId="0" fillId="4" borderId="3" xfId="0" applyNumberFormat="1" applyFill="1" applyBorder="1"/>
    <xf numFmtId="10" fontId="2" fillId="4" borderId="1" xfId="1" applyNumberFormat="1" applyFont="1" applyFill="1" applyBorder="1"/>
    <xf numFmtId="10" fontId="2" fillId="4" borderId="4" xfId="1" applyNumberFormat="1" applyFont="1" applyFill="1" applyBorder="1"/>
    <xf numFmtId="10" fontId="2" fillId="4" borderId="6" xfId="1" applyNumberFormat="1" applyFont="1" applyFill="1" applyBorder="1"/>
    <xf numFmtId="10" fontId="2" fillId="5" borderId="3" xfId="0" applyNumberFormat="1" applyFont="1" applyFill="1" applyBorder="1"/>
    <xf numFmtId="10" fontId="2" fillId="6" borderId="5" xfId="1" applyNumberFormat="1" applyFont="1" applyFill="1" applyBorder="1"/>
    <xf numFmtId="10" fontId="2" fillId="6" borderId="8" xfId="1" applyNumberFormat="1" applyFont="1" applyFill="1" applyBorder="1"/>
    <xf numFmtId="9" fontId="0" fillId="0" borderId="19" xfId="0" applyNumberFormat="1" applyBorder="1" applyAlignment="1">
      <alignment horizontal="center"/>
    </xf>
    <xf numFmtId="0" fontId="0" fillId="0" borderId="0" xfId="1" applyNumberFormat="1" applyFont="1"/>
    <xf numFmtId="0" fontId="2" fillId="0" borderId="17" xfId="0" applyFont="1" applyBorder="1"/>
    <xf numFmtId="0" fontId="2" fillId="8" borderId="20" xfId="0" applyFont="1" applyFill="1" applyBorder="1" applyAlignment="1">
      <alignment horizontal="centerContinuous"/>
    </xf>
    <xf numFmtId="0" fontId="0" fillId="8" borderId="21" xfId="0" applyFill="1" applyBorder="1" applyAlignment="1">
      <alignment horizontal="centerContinuous"/>
    </xf>
    <xf numFmtId="0" fontId="0" fillId="8" borderId="19" xfId="0" applyFill="1" applyBorder="1" applyAlignment="1">
      <alignment horizontal="centerContinuous"/>
    </xf>
    <xf numFmtId="0" fontId="2" fillId="9" borderId="20" xfId="0" applyFont="1" applyFill="1" applyBorder="1" applyAlignment="1">
      <alignment horizontal="centerContinuous"/>
    </xf>
    <xf numFmtId="0" fontId="0" fillId="9" borderId="21" xfId="0" applyFill="1" applyBorder="1" applyAlignment="1">
      <alignment horizontal="centerContinuous"/>
    </xf>
    <xf numFmtId="0" fontId="0" fillId="9" borderId="19" xfId="0" applyFill="1" applyBorder="1" applyAlignment="1">
      <alignment horizontal="centerContinuous"/>
    </xf>
    <xf numFmtId="10" fontId="0" fillId="7" borderId="0" xfId="1" applyNumberFormat="1" applyFont="1" applyFill="1"/>
    <xf numFmtId="10" fontId="0" fillId="7" borderId="0" xfId="0" applyNumberFormat="1" applyFill="1"/>
    <xf numFmtId="164" fontId="0" fillId="10" borderId="1" xfId="0" applyNumberFormat="1" applyFill="1" applyBorder="1"/>
    <xf numFmtId="0" fontId="2" fillId="0" borderId="0" xfId="0" applyFont="1" applyAlignment="1">
      <alignment wrapText="1"/>
    </xf>
    <xf numFmtId="0" fontId="2" fillId="0" borderId="0" xfId="0" applyFont="1" applyAlignment="1">
      <alignment horizontal="center" vertical="center" wrapText="1"/>
    </xf>
    <xf numFmtId="10" fontId="2" fillId="11" borderId="0" xfId="0" applyNumberFormat="1" applyFont="1" applyFill="1"/>
    <xf numFmtId="0" fontId="6" fillId="0" borderId="2" xfId="0" applyFont="1" applyBorder="1" applyAlignment="1">
      <alignment vertical="top"/>
    </xf>
    <xf numFmtId="0" fontId="2" fillId="0" borderId="0" xfId="0" applyFont="1" applyAlignment="1">
      <alignment horizontal="center" wrapText="1"/>
    </xf>
    <xf numFmtId="0" fontId="7" fillId="0" borderId="0" xfId="0" applyFont="1" applyAlignment="1">
      <alignment vertical="top"/>
    </xf>
    <xf numFmtId="9" fontId="0" fillId="12" borderId="18" xfId="1" applyFont="1" applyFill="1" applyBorder="1" applyAlignment="1">
      <alignment horizontal="center"/>
    </xf>
    <xf numFmtId="10" fontId="0" fillId="12" borderId="12" xfId="0" applyNumberFormat="1" applyFill="1" applyBorder="1" applyAlignment="1">
      <alignment horizontal="right"/>
    </xf>
    <xf numFmtId="0" fontId="0" fillId="12" borderId="12" xfId="0" applyFill="1" applyBorder="1" applyAlignment="1">
      <alignment horizontal="right"/>
    </xf>
    <xf numFmtId="9" fontId="0" fillId="12" borderId="12" xfId="0" applyNumberFormat="1" applyFill="1" applyBorder="1"/>
    <xf numFmtId="10" fontId="0" fillId="12" borderId="12" xfId="0" applyNumberFormat="1" applyFill="1" applyBorder="1"/>
    <xf numFmtId="0" fontId="6" fillId="0" borderId="0" xfId="0" applyFont="1" applyAlignment="1">
      <alignment vertical="top"/>
    </xf>
    <xf numFmtId="0" fontId="7" fillId="0" borderId="0" xfId="0" quotePrefix="1" applyFont="1" applyAlignment="1">
      <alignment vertical="top"/>
    </xf>
    <xf numFmtId="0" fontId="4" fillId="13" borderId="0" xfId="0" applyFont="1" applyFill="1"/>
    <xf numFmtId="0" fontId="0" fillId="13" borderId="0" xfId="0" applyFill="1"/>
    <xf numFmtId="0" fontId="7" fillId="13" borderId="0" xfId="0" applyFont="1" applyFill="1" applyAlignment="1">
      <alignment vertical="top"/>
    </xf>
    <xf numFmtId="0" fontId="2" fillId="13" borderId="0" xfId="0" applyFont="1" applyFill="1"/>
    <xf numFmtId="0" fontId="2" fillId="13" borderId="0" xfId="0" applyFont="1" applyFill="1" applyAlignment="1">
      <alignment wrapText="1"/>
    </xf>
    <xf numFmtId="0" fontId="2" fillId="13" borderId="0" xfId="0" applyFont="1" applyFill="1" applyAlignment="1">
      <alignment horizontal="center" vertical="center" wrapText="1"/>
    </xf>
    <xf numFmtId="10" fontId="0" fillId="13" borderId="0" xfId="1" applyNumberFormat="1" applyFont="1" applyFill="1"/>
    <xf numFmtId="0" fontId="2" fillId="13" borderId="17" xfId="0" applyFont="1" applyFill="1" applyBorder="1"/>
    <xf numFmtId="9" fontId="0" fillId="13" borderId="22" xfId="1" applyFont="1" applyFill="1" applyBorder="1" applyAlignment="1">
      <alignment horizontal="center"/>
    </xf>
    <xf numFmtId="9" fontId="0" fillId="13" borderId="19" xfId="0" applyNumberFormat="1" applyFill="1" applyBorder="1" applyAlignment="1">
      <alignment horizontal="center"/>
    </xf>
    <xf numFmtId="0" fontId="0" fillId="13" borderId="0" xfId="1" applyNumberFormat="1" applyFont="1" applyFill="1"/>
    <xf numFmtId="0" fontId="2" fillId="13" borderId="0" xfId="0" applyFont="1" applyFill="1" applyAlignment="1">
      <alignment horizontal="center"/>
    </xf>
    <xf numFmtId="0" fontId="2" fillId="13" borderId="0" xfId="0" applyFont="1" applyFill="1" applyAlignment="1">
      <alignment horizontal="center" wrapText="1"/>
    </xf>
    <xf numFmtId="0" fontId="5" fillId="13" borderId="0" xfId="0" applyFont="1" applyFill="1"/>
    <xf numFmtId="0" fontId="0" fillId="12" borderId="10" xfId="0" applyFill="1" applyBorder="1" applyAlignment="1">
      <alignment horizontal="right"/>
    </xf>
    <xf numFmtId="0" fontId="9" fillId="13" borderId="34" xfId="0" quotePrefix="1" applyFont="1" applyFill="1" applyBorder="1"/>
    <xf numFmtId="0" fontId="8" fillId="13" borderId="34" xfId="0" applyFont="1" applyFill="1" applyBorder="1" applyAlignment="1">
      <alignment vertical="center" wrapText="1"/>
    </xf>
    <xf numFmtId="0" fontId="8" fillId="13" borderId="34" xfId="0" applyFont="1" applyFill="1" applyBorder="1" applyAlignment="1">
      <alignment horizontal="center"/>
    </xf>
    <xf numFmtId="0" fontId="0" fillId="13" borderId="34" xfId="0" applyFill="1" applyBorder="1"/>
    <xf numFmtId="0" fontId="0" fillId="0" borderId="23" xfId="0" applyBorder="1"/>
    <xf numFmtId="0" fontId="0" fillId="0" borderId="25" xfId="0" applyBorder="1"/>
    <xf numFmtId="0" fontId="0" fillId="0" borderId="26" xfId="0" applyBorder="1"/>
    <xf numFmtId="0" fontId="2" fillId="0" borderId="17" xfId="0" applyFont="1" applyBorder="1" applyAlignment="1">
      <alignment wrapText="1"/>
    </xf>
    <xf numFmtId="0" fontId="0" fillId="0" borderId="37" xfId="0" applyBorder="1" applyAlignment="1">
      <alignment horizontal="center"/>
    </xf>
    <xf numFmtId="0" fontId="0" fillId="0" borderId="32" xfId="0" applyBorder="1" applyAlignment="1">
      <alignment horizontal="center"/>
    </xf>
    <xf numFmtId="0" fontId="0" fillId="0" borderId="25" xfId="0" applyBorder="1" applyAlignment="1">
      <alignment horizontal="center"/>
    </xf>
    <xf numFmtId="0" fontId="0" fillId="0" borderId="0" xfId="0" applyAlignment="1">
      <alignment horizontal="center"/>
    </xf>
    <xf numFmtId="165" fontId="2" fillId="0" borderId="25" xfId="0" applyNumberFormat="1" applyFont="1" applyBorder="1"/>
    <xf numFmtId="165" fontId="2" fillId="0" borderId="0" xfId="0" applyNumberFormat="1" applyFont="1"/>
    <xf numFmtId="9" fontId="0" fillId="14" borderId="18" xfId="1" applyFont="1" applyFill="1" applyBorder="1" applyAlignment="1">
      <alignment horizontal="center"/>
    </xf>
    <xf numFmtId="0" fontId="0" fillId="14" borderId="16" xfId="0" applyFill="1" applyBorder="1" applyAlignment="1">
      <alignment horizontal="center"/>
    </xf>
    <xf numFmtId="9" fontId="0" fillId="14" borderId="22" xfId="1" applyFont="1" applyFill="1" applyBorder="1" applyAlignment="1">
      <alignment horizontal="center"/>
    </xf>
    <xf numFmtId="9" fontId="2" fillId="0" borderId="0" xfId="1" applyFont="1" applyFill="1" applyBorder="1" applyAlignment="1">
      <alignment horizontal="center"/>
    </xf>
    <xf numFmtId="0" fontId="13" fillId="0" borderId="23" xfId="0" applyFont="1" applyBorder="1" applyAlignment="1">
      <alignment horizontal="center"/>
    </xf>
    <xf numFmtId="0" fontId="13" fillId="0" borderId="24" xfId="0" applyFont="1" applyBorder="1" applyAlignment="1">
      <alignment horizontal="center"/>
    </xf>
    <xf numFmtId="0" fontId="14" fillId="0" borderId="9" xfId="0" applyFont="1" applyBorder="1"/>
    <xf numFmtId="0" fontId="14" fillId="0" borderId="11" xfId="0" applyFont="1" applyBorder="1"/>
    <xf numFmtId="0" fontId="0" fillId="0" borderId="16" xfId="0" applyBorder="1" applyAlignment="1">
      <alignment horizontal="center" wrapText="1"/>
    </xf>
    <xf numFmtId="0" fontId="15" fillId="0" borderId="0" xfId="0" quotePrefix="1" applyFont="1" applyAlignment="1">
      <alignment vertical="top"/>
    </xf>
    <xf numFmtId="0" fontId="13" fillId="0" borderId="0" xfId="0" applyFont="1" applyAlignment="1">
      <alignment horizontal="right" indent="3"/>
    </xf>
    <xf numFmtId="0" fontId="13" fillId="0" borderId="0" xfId="0" applyFont="1"/>
    <xf numFmtId="0" fontId="14" fillId="0" borderId="0" xfId="0" applyFont="1"/>
    <xf numFmtId="0" fontId="0" fillId="13" borderId="16" xfId="0" applyFill="1" applyBorder="1" applyAlignment="1">
      <alignment horizontal="center" wrapText="1"/>
    </xf>
    <xf numFmtId="0" fontId="14" fillId="13" borderId="0" xfId="0" applyFont="1" applyFill="1"/>
    <xf numFmtId="0" fontId="13" fillId="13" borderId="0" xfId="0" applyFont="1" applyFill="1"/>
    <xf numFmtId="0" fontId="13" fillId="0" borderId="0" xfId="0" applyFont="1" applyAlignment="1">
      <alignment vertical="center"/>
    </xf>
    <xf numFmtId="0" fontId="2" fillId="2" borderId="10" xfId="0" applyFont="1" applyFill="1" applyBorder="1" applyAlignment="1" applyProtection="1">
      <alignment horizontal="right"/>
      <protection locked="0"/>
    </xf>
    <xf numFmtId="10" fontId="2" fillId="2" borderId="12" xfId="0" applyNumberFormat="1" applyFont="1" applyFill="1" applyBorder="1" applyAlignment="1" applyProtection="1">
      <alignment horizontal="right"/>
      <protection locked="0"/>
    </xf>
    <xf numFmtId="0" fontId="2" fillId="2" borderId="12" xfId="0" applyFont="1" applyFill="1" applyBorder="1" applyAlignment="1" applyProtection="1">
      <alignment horizontal="right"/>
      <protection locked="0"/>
    </xf>
    <xf numFmtId="9" fontId="2" fillId="2" borderId="12" xfId="0" applyNumberFormat="1" applyFont="1" applyFill="1" applyBorder="1" applyProtection="1">
      <protection locked="0"/>
    </xf>
    <xf numFmtId="10" fontId="2" fillId="2" borderId="12" xfId="0" applyNumberFormat="1" applyFont="1" applyFill="1" applyBorder="1" applyProtection="1">
      <protection locked="0"/>
    </xf>
    <xf numFmtId="9" fontId="2" fillId="2" borderId="22" xfId="1" applyFont="1" applyFill="1" applyBorder="1" applyAlignment="1" applyProtection="1">
      <alignment horizontal="center"/>
      <protection locked="0"/>
    </xf>
    <xf numFmtId="9" fontId="2" fillId="2" borderId="18" xfId="1" applyFont="1" applyFill="1" applyBorder="1" applyAlignment="1" applyProtection="1">
      <alignment horizontal="center"/>
      <protection locked="0"/>
    </xf>
    <xf numFmtId="0" fontId="0" fillId="0" borderId="42" xfId="0" applyBorder="1"/>
    <xf numFmtId="10" fontId="0" fillId="12" borderId="43" xfId="0" applyNumberFormat="1" applyFill="1" applyBorder="1"/>
    <xf numFmtId="0" fontId="0" fillId="12" borderId="14" xfId="0" applyFill="1" applyBorder="1" applyAlignment="1">
      <alignment horizontal="right"/>
    </xf>
    <xf numFmtId="10" fontId="2" fillId="2" borderId="43" xfId="0" applyNumberFormat="1" applyFont="1" applyFill="1" applyBorder="1" applyProtection="1">
      <protection locked="0"/>
    </xf>
    <xf numFmtId="0" fontId="11" fillId="0" borderId="0" xfId="0" applyFont="1" applyAlignment="1">
      <alignment horizontal="center" vertical="center"/>
    </xf>
    <xf numFmtId="10" fontId="0" fillId="15" borderId="0" xfId="1" applyNumberFormat="1" applyFont="1" applyFill="1"/>
    <xf numFmtId="0" fontId="0" fillId="12" borderId="23" xfId="0" applyFill="1" applyBorder="1" applyAlignment="1">
      <alignment vertical="center"/>
    </xf>
    <xf numFmtId="0" fontId="0" fillId="12" borderId="44" xfId="0" applyFill="1" applyBorder="1" applyAlignment="1">
      <alignment horizontal="right" vertical="center"/>
    </xf>
    <xf numFmtId="0" fontId="2" fillId="12" borderId="44" xfId="0" applyFont="1" applyFill="1" applyBorder="1" applyAlignment="1">
      <alignment horizontal="center" vertical="center"/>
    </xf>
    <xf numFmtId="0" fontId="0" fillId="12" borderId="24" xfId="0" applyFill="1" applyBorder="1" applyAlignment="1">
      <alignment vertical="center"/>
    </xf>
    <xf numFmtId="0" fontId="0" fillId="12" borderId="26" xfId="0" applyFill="1" applyBorder="1" applyAlignment="1">
      <alignment vertical="center"/>
    </xf>
    <xf numFmtId="0" fontId="0" fillId="12" borderId="45" xfId="0" applyFill="1" applyBorder="1" applyAlignment="1">
      <alignment horizontal="right" vertical="center"/>
    </xf>
    <xf numFmtId="0" fontId="13" fillId="12" borderId="45" xfId="0" applyFont="1" applyFill="1" applyBorder="1" applyAlignment="1">
      <alignment horizontal="center" vertical="center"/>
    </xf>
    <xf numFmtId="0" fontId="0" fillId="12" borderId="46" xfId="0" applyFill="1" applyBorder="1" applyAlignment="1">
      <alignment vertical="center"/>
    </xf>
    <xf numFmtId="166" fontId="2" fillId="2" borderId="30" xfId="1" applyNumberFormat="1" applyFont="1" applyFill="1" applyBorder="1" applyProtection="1">
      <protection locked="0"/>
    </xf>
    <xf numFmtId="166" fontId="2" fillId="2" borderId="31" xfId="1" applyNumberFormat="1" applyFont="1" applyFill="1" applyBorder="1" applyProtection="1">
      <protection locked="0"/>
    </xf>
    <xf numFmtId="166" fontId="2" fillId="2" borderId="29" xfId="1" applyNumberFormat="1" applyFont="1" applyFill="1" applyBorder="1" applyProtection="1">
      <protection locked="0"/>
    </xf>
    <xf numFmtId="166" fontId="2" fillId="2" borderId="37" xfId="1" applyNumberFormat="1" applyFont="1" applyFill="1" applyBorder="1" applyProtection="1">
      <protection locked="0"/>
    </xf>
    <xf numFmtId="166" fontId="2" fillId="2" borderId="32" xfId="1" applyNumberFormat="1" applyFont="1" applyFill="1" applyBorder="1" applyProtection="1">
      <protection locked="0"/>
    </xf>
    <xf numFmtId="166" fontId="2" fillId="2" borderId="36" xfId="1" applyNumberFormat="1" applyFont="1" applyFill="1" applyBorder="1" applyProtection="1">
      <protection locked="0"/>
    </xf>
    <xf numFmtId="166" fontId="2" fillId="2" borderId="27" xfId="1" applyNumberFormat="1" applyFont="1" applyFill="1" applyBorder="1" applyProtection="1">
      <protection locked="0"/>
    </xf>
    <xf numFmtId="166" fontId="2" fillId="2" borderId="38" xfId="1" applyNumberFormat="1" applyFont="1" applyFill="1" applyBorder="1" applyProtection="1">
      <protection locked="0"/>
    </xf>
    <xf numFmtId="166" fontId="2" fillId="2" borderId="28" xfId="1" applyNumberFormat="1" applyFont="1" applyFill="1" applyBorder="1" applyProtection="1">
      <protection locked="0"/>
    </xf>
    <xf numFmtId="165" fontId="0" fillId="0" borderId="0" xfId="0" applyNumberFormat="1" applyProtection="1">
      <protection locked="0"/>
    </xf>
    <xf numFmtId="10" fontId="0" fillId="12" borderId="0" xfId="1" applyNumberFormat="1" applyFont="1" applyFill="1"/>
    <xf numFmtId="10" fontId="0" fillId="14" borderId="15" xfId="1" applyNumberFormat="1" applyFont="1" applyFill="1" applyBorder="1"/>
    <xf numFmtId="10" fontId="0" fillId="12" borderId="15" xfId="1" applyNumberFormat="1" applyFont="1" applyFill="1" applyBorder="1"/>
    <xf numFmtId="10" fontId="0" fillId="2" borderId="15" xfId="1" applyNumberFormat="1" applyFont="1" applyFill="1" applyBorder="1" applyProtection="1">
      <protection locked="0"/>
    </xf>
    <xf numFmtId="167" fontId="0" fillId="0" borderId="0" xfId="0" applyNumberFormat="1"/>
    <xf numFmtId="10" fontId="0" fillId="0" borderId="0" xfId="0" applyNumberFormat="1"/>
    <xf numFmtId="0" fontId="0" fillId="0" borderId="0" xfId="0" applyAlignment="1">
      <alignment horizontal="center" vertical="center" wrapText="1"/>
    </xf>
    <xf numFmtId="0" fontId="16" fillId="0" borderId="0" xfId="0" applyFont="1"/>
    <xf numFmtId="0" fontId="18" fillId="13" borderId="0" xfId="0" applyFont="1" applyFill="1"/>
    <xf numFmtId="0" fontId="16" fillId="13" borderId="0" xfId="0" applyFont="1" applyFill="1"/>
    <xf numFmtId="0" fontId="17" fillId="13" borderId="0" xfId="0" applyFont="1" applyFill="1"/>
    <xf numFmtId="0" fontId="17" fillId="0" borderId="0" xfId="0" applyFont="1"/>
    <xf numFmtId="0" fontId="12" fillId="13" borderId="34" xfId="0" applyFont="1" applyFill="1" applyBorder="1" applyAlignment="1">
      <alignment vertical="center" wrapText="1"/>
    </xf>
    <xf numFmtId="0" fontId="12" fillId="0" borderId="34" xfId="0" applyFont="1" applyBorder="1" applyAlignment="1">
      <alignment horizontal="left" vertical="center" wrapText="1"/>
    </xf>
    <xf numFmtId="0" fontId="12" fillId="0" borderId="35" xfId="0" applyFont="1" applyBorder="1" applyAlignment="1">
      <alignment vertical="center" wrapText="1"/>
    </xf>
    <xf numFmtId="0" fontId="12" fillId="13" borderId="33" xfId="0" applyFont="1" applyFill="1" applyBorder="1" applyAlignment="1">
      <alignment vertical="center" wrapText="1"/>
    </xf>
    <xf numFmtId="0" fontId="14" fillId="0" borderId="11" xfId="0" applyFont="1" applyBorder="1" applyAlignment="1">
      <alignment wrapText="1"/>
    </xf>
    <xf numFmtId="0" fontId="1" fillId="13" borderId="0" xfId="0" quotePrefix="1" applyFont="1" applyFill="1" applyAlignment="1">
      <alignment vertical="top"/>
    </xf>
    <xf numFmtId="0" fontId="2" fillId="0" borderId="23" xfId="0" applyFont="1" applyBorder="1" applyAlignment="1">
      <alignment horizontal="center"/>
    </xf>
    <xf numFmtId="0" fontId="2" fillId="0" borderId="24" xfId="0" applyFont="1" applyBorder="1" applyAlignment="1">
      <alignment horizontal="center"/>
    </xf>
    <xf numFmtId="0" fontId="13" fillId="0" borderId="39" xfId="0" applyFont="1" applyBorder="1" applyAlignment="1">
      <alignment horizontal="center"/>
    </xf>
    <xf numFmtId="0" fontId="13" fillId="0" borderId="40" xfId="0" applyFont="1" applyBorder="1" applyAlignment="1">
      <alignment horizontal="center"/>
    </xf>
    <xf numFmtId="0" fontId="13" fillId="0" borderId="41" xfId="0" applyFont="1" applyBorder="1" applyAlignment="1">
      <alignment horizontal="center"/>
    </xf>
  </cellXfs>
  <cellStyles count="2">
    <cellStyle name="Normal" xfId="0" builtinId="0"/>
    <cellStyle name="Percent" xfId="1" builtinId="5"/>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'Courbe de référence illiquide'!$O$3</c:f>
              <c:strCache>
                <c:ptCount val="1"/>
                <c:pt idx="0">
                  <c:v>Courbe sans risque</c:v>
                </c:pt>
              </c:strCache>
            </c:strRef>
          </c:tx>
          <c:spPr>
            <a:ln w="28575" cap="rnd">
              <a:solidFill>
                <a:schemeClr val="accent1">
                  <a:lumMod val="20000"/>
                  <a:lumOff val="80000"/>
                </a:schemeClr>
              </a:solidFill>
              <a:round/>
            </a:ln>
            <a:effectLst/>
          </c:spPr>
          <c:marker>
            <c:symbol val="none"/>
          </c:marker>
          <c:cat>
            <c:numRef>
              <c:f>'Courbe de référence illiquide'!$N$4:$N$103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'Courbe de référence illiquide'!$O$4:$O$103</c:f>
              <c:numCache>
                <c:formatCode>0.00%</c:formatCode>
                <c:ptCount val="100"/>
                <c:pt idx="0">
                  <c:v>4.2645368999998379E-3</c:v>
                </c:pt>
                <c:pt idx="1">
                  <c:v>4.5659707931942073E-3</c:v>
                </c:pt>
                <c:pt idx="2">
                  <c:v>5.1402246110214822E-3</c:v>
                </c:pt>
                <c:pt idx="3">
                  <c:v>5.8479211722266555E-3</c:v>
                </c:pt>
                <c:pt idx="4">
                  <c:v>6.1612764103673445E-3</c:v>
                </c:pt>
                <c:pt idx="5">
                  <c:v>6.4299147069000195E-3</c:v>
                </c:pt>
                <c:pt idx="6">
                  <c:v>6.6996571431408025E-3</c:v>
                </c:pt>
                <c:pt idx="7">
                  <c:v>6.76944500168708E-3</c:v>
                </c:pt>
                <c:pt idx="8">
                  <c:v>7.2645813018876737E-3</c:v>
                </c:pt>
                <c:pt idx="9">
                  <c:v>7.8147374224597499E-3</c:v>
                </c:pt>
                <c:pt idx="10">
                  <c:v>8.4995556160289976E-3</c:v>
                </c:pt>
                <c:pt idx="11">
                  <c:v>9.1901077640226259E-3</c:v>
                </c:pt>
                <c:pt idx="12">
                  <c:v>9.8870364705685443E-3</c:v>
                </c:pt>
                <c:pt idx="13">
                  <c:v>1.0591018189858969E-2</c:v>
                </c:pt>
                <c:pt idx="14">
                  <c:v>1.1302770569539655E-2</c:v>
                </c:pt>
                <c:pt idx="15">
                  <c:v>1.1718161119753878E-2</c:v>
                </c:pt>
                <c:pt idx="16">
                  <c:v>1.2137691484647606E-2</c:v>
                </c:pt>
                <c:pt idx="17">
                  <c:v>1.2561591749558954E-2</c:v>
                </c:pt>
                <c:pt idx="18">
                  <c:v>1.299011858282384E-2</c:v>
                </c:pt>
                <c:pt idx="19">
                  <c:v>1.3423554509838675E-2</c:v>
                </c:pt>
                <c:pt idx="20">
                  <c:v>1.3531368646791497E-2</c:v>
                </c:pt>
                <c:pt idx="21">
                  <c:v>1.3641218539176991E-2</c:v>
                </c:pt>
                <c:pt idx="22">
                  <c:v>1.3752976685896812E-2</c:v>
                </c:pt>
                <c:pt idx="23">
                  <c:v>1.386654275115129E-2</c:v>
                </c:pt>
                <c:pt idx="24">
                  <c:v>1.3981838406994296E-2</c:v>
                </c:pt>
                <c:pt idx="25">
                  <c:v>1.3926994380078161E-2</c:v>
                </c:pt>
                <c:pt idx="26">
                  <c:v>1.3873527472835878E-2</c:v>
                </c:pt>
                <c:pt idx="27">
                  <c:v>1.3821273873644069E-2</c:v>
                </c:pt>
                <c:pt idx="28">
                  <c:v>1.3770092406137246E-2</c:v>
                </c:pt>
                <c:pt idx="29">
                  <c:v>1.3719860761480129E-2</c:v>
                </c:pt>
                <c:pt idx="30">
                  <c:v>1.4376864242443126E-2</c:v>
                </c:pt>
                <c:pt idx="31">
                  <c:v>1.5033867723406123E-2</c:v>
                </c:pt>
                <c:pt idx="32">
                  <c:v>1.5690871204369121E-2</c:v>
                </c:pt>
                <c:pt idx="33">
                  <c:v>1.6347874685332119E-2</c:v>
                </c:pt>
                <c:pt idx="34">
                  <c:v>1.7004878166295118E-2</c:v>
                </c:pt>
                <c:pt idx="35">
                  <c:v>1.7661881647258116E-2</c:v>
                </c:pt>
                <c:pt idx="36">
                  <c:v>1.8318885128221114E-2</c:v>
                </c:pt>
                <c:pt idx="37">
                  <c:v>1.8975888609184113E-2</c:v>
                </c:pt>
                <c:pt idx="38">
                  <c:v>1.9632892090147111E-2</c:v>
                </c:pt>
                <c:pt idx="39">
                  <c:v>2.0289895571110109E-2</c:v>
                </c:pt>
                <c:pt idx="40">
                  <c:v>2.0946899052073108E-2</c:v>
                </c:pt>
                <c:pt idx="41">
                  <c:v>2.1603902533036106E-2</c:v>
                </c:pt>
                <c:pt idx="42">
                  <c:v>2.2260906013999104E-2</c:v>
                </c:pt>
                <c:pt idx="43">
                  <c:v>2.2917909494962103E-2</c:v>
                </c:pt>
                <c:pt idx="44">
                  <c:v>2.3574912975925101E-2</c:v>
                </c:pt>
                <c:pt idx="45">
                  <c:v>2.4231916456888099E-2</c:v>
                </c:pt>
                <c:pt idx="46">
                  <c:v>2.4888919937851098E-2</c:v>
                </c:pt>
                <c:pt idx="47">
                  <c:v>2.5545923418814096E-2</c:v>
                </c:pt>
                <c:pt idx="48">
                  <c:v>2.6202926899777094E-2</c:v>
                </c:pt>
                <c:pt idx="49">
                  <c:v>2.6859930380740093E-2</c:v>
                </c:pt>
                <c:pt idx="50">
                  <c:v>2.7516933861703091E-2</c:v>
                </c:pt>
                <c:pt idx="51">
                  <c:v>2.817393734266609E-2</c:v>
                </c:pt>
                <c:pt idx="52">
                  <c:v>2.8830940823629088E-2</c:v>
                </c:pt>
                <c:pt idx="53">
                  <c:v>2.9487944304592086E-2</c:v>
                </c:pt>
                <c:pt idx="54">
                  <c:v>3.0144947785555085E-2</c:v>
                </c:pt>
                <c:pt idx="55">
                  <c:v>3.0801951266518083E-2</c:v>
                </c:pt>
                <c:pt idx="56">
                  <c:v>3.1458954747481081E-2</c:v>
                </c:pt>
                <c:pt idx="57">
                  <c:v>3.2115958228444076E-2</c:v>
                </c:pt>
                <c:pt idx="58">
                  <c:v>3.2772961709407071E-2</c:v>
                </c:pt>
                <c:pt idx="59">
                  <c:v>3.3429965190370066E-2</c:v>
                </c:pt>
                <c:pt idx="60">
                  <c:v>3.4086968671333061E-2</c:v>
                </c:pt>
                <c:pt idx="61">
                  <c:v>3.4743972152296056E-2</c:v>
                </c:pt>
                <c:pt idx="62">
                  <c:v>3.5400975633259051E-2</c:v>
                </c:pt>
                <c:pt idx="63">
                  <c:v>3.6057979114222045E-2</c:v>
                </c:pt>
                <c:pt idx="64">
                  <c:v>3.671498259518504E-2</c:v>
                </c:pt>
                <c:pt idx="65">
                  <c:v>3.7371986076148035E-2</c:v>
                </c:pt>
                <c:pt idx="66">
                  <c:v>3.802898955711103E-2</c:v>
                </c:pt>
                <c:pt idx="67">
                  <c:v>3.8685993038074025E-2</c:v>
                </c:pt>
                <c:pt idx="68">
                  <c:v>3.934299651903702E-2</c:v>
                </c:pt>
                <c:pt idx="69">
                  <c:v>0.04</c:v>
                </c:pt>
                <c:pt idx="70">
                  <c:v>0.04</c:v>
                </c:pt>
                <c:pt idx="71">
                  <c:v>0.04</c:v>
                </c:pt>
                <c:pt idx="72">
                  <c:v>0.04</c:v>
                </c:pt>
                <c:pt idx="73">
                  <c:v>0.04</c:v>
                </c:pt>
                <c:pt idx="74">
                  <c:v>0.04</c:v>
                </c:pt>
                <c:pt idx="75">
                  <c:v>0.04</c:v>
                </c:pt>
                <c:pt idx="76">
                  <c:v>0.04</c:v>
                </c:pt>
                <c:pt idx="77">
                  <c:v>0.04</c:v>
                </c:pt>
                <c:pt idx="78">
                  <c:v>0.04</c:v>
                </c:pt>
                <c:pt idx="79">
                  <c:v>0.04</c:v>
                </c:pt>
                <c:pt idx="80">
                  <c:v>0.04</c:v>
                </c:pt>
                <c:pt idx="81">
                  <c:v>0.04</c:v>
                </c:pt>
                <c:pt idx="82">
                  <c:v>0.04</c:v>
                </c:pt>
                <c:pt idx="83">
                  <c:v>0.04</c:v>
                </c:pt>
                <c:pt idx="84">
                  <c:v>0.04</c:v>
                </c:pt>
                <c:pt idx="85">
                  <c:v>0.04</c:v>
                </c:pt>
                <c:pt idx="86">
                  <c:v>0.04</c:v>
                </c:pt>
                <c:pt idx="87">
                  <c:v>0.04</c:v>
                </c:pt>
                <c:pt idx="88">
                  <c:v>0.04</c:v>
                </c:pt>
                <c:pt idx="89">
                  <c:v>0.04</c:v>
                </c:pt>
                <c:pt idx="90">
                  <c:v>0.04</c:v>
                </c:pt>
                <c:pt idx="91">
                  <c:v>0.04</c:v>
                </c:pt>
                <c:pt idx="92">
                  <c:v>0.04</c:v>
                </c:pt>
                <c:pt idx="93">
                  <c:v>0.04</c:v>
                </c:pt>
                <c:pt idx="94">
                  <c:v>0.04</c:v>
                </c:pt>
                <c:pt idx="95">
                  <c:v>0.04</c:v>
                </c:pt>
                <c:pt idx="96">
                  <c:v>0.04</c:v>
                </c:pt>
                <c:pt idx="97">
                  <c:v>0.04</c:v>
                </c:pt>
                <c:pt idx="98">
                  <c:v>0.04</c:v>
                </c:pt>
                <c:pt idx="99">
                  <c:v>0.04</c:v>
                </c:pt>
              </c:numCache>
            </c:numRef>
          </c:val>
          <c:smooth val="0"/>
          <c:extLst>
            <c:ext xmlns:c16="http://schemas.microsoft.com/office/drawing/2014/chart" uri="{C3380CC4-5D6E-409C-BE32-E72D297353CC}">
              <c16:uniqueId val="{00000000-B0FF-4B89-A414-703511F10057}"/>
            </c:ext>
          </c:extLst>
        </c:ser>
        <c:ser>
          <c:idx val="1"/>
          <c:order val="1"/>
          <c:tx>
            <c:strRef>
              <c:f>'Courbe de référence illiquide'!$P$3</c:f>
              <c:strCache>
                <c:ptCount val="1"/>
                <c:pt idx="0">
                  <c:v>Écart de liquidité</c:v>
                </c:pt>
              </c:strCache>
            </c:strRef>
          </c:tx>
          <c:spPr>
            <a:ln w="28575" cap="rnd">
              <a:solidFill>
                <a:schemeClr val="accent2"/>
              </a:solidFill>
              <a:round/>
            </a:ln>
            <a:effectLst/>
          </c:spPr>
          <c:marker>
            <c:symbol val="none"/>
          </c:marker>
          <c:cat>
            <c:numRef>
              <c:f>'Courbe de référence illiquide'!$N$4:$N$103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'Courbe de référence illiquide'!$P$4:$P$103</c:f>
              <c:numCache>
                <c:formatCode>0.00%</c:formatCode>
                <c:ptCount val="100"/>
                <c:pt idx="0">
                  <c:v>1.6603099743750183E-2</c:v>
                </c:pt>
                <c:pt idx="1">
                  <c:v>1.6967309789818141E-2</c:v>
                </c:pt>
                <c:pt idx="2">
                  <c:v>1.7218775896861716E-2</c:v>
                </c:pt>
                <c:pt idx="3">
                  <c:v>1.7346026529988068E-2</c:v>
                </c:pt>
                <c:pt idx="4">
                  <c:v>1.7639584935517871E-2</c:v>
                </c:pt>
                <c:pt idx="5">
                  <c:v>1.8178816409531395E-2</c:v>
                </c:pt>
                <c:pt idx="6">
                  <c:v>1.8728112252167417E-2</c:v>
                </c:pt>
                <c:pt idx="7">
                  <c:v>1.9247559695088401E-2</c:v>
                </c:pt>
                <c:pt idx="8">
                  <c:v>1.9537817156823067E-2</c:v>
                </c:pt>
                <c:pt idx="9">
                  <c:v>1.9704304879299195E-2</c:v>
                </c:pt>
                <c:pt idx="10">
                  <c:v>1.9861259812601118E-2</c:v>
                </c:pt>
                <c:pt idx="11">
                  <c:v>2.0028233154486097E-2</c:v>
                </c:pt>
                <c:pt idx="12">
                  <c:v>2.020613306305602E-2</c:v>
                </c:pt>
                <c:pt idx="13">
                  <c:v>2.039600229048999E-2</c:v>
                </c:pt>
                <c:pt idx="14">
                  <c:v>2.0599039342302505E-2</c:v>
                </c:pt>
                <c:pt idx="15">
                  <c:v>2.0697614554136379E-2</c:v>
                </c:pt>
                <c:pt idx="16">
                  <c:v>2.0805813450429089E-2</c:v>
                </c:pt>
                <c:pt idx="17">
                  <c:v>2.0923900408212737E-2</c:v>
                </c:pt>
                <c:pt idx="18">
                  <c:v>2.1052290107741289E-2</c:v>
                </c:pt>
                <c:pt idx="19">
                  <c:v>2.1191540235951711E-2</c:v>
                </c:pt>
                <c:pt idx="20">
                  <c:v>2.1259006654577806E-2</c:v>
                </c:pt>
                <c:pt idx="21">
                  <c:v>2.1333273739113312E-2</c:v>
                </c:pt>
                <c:pt idx="22">
                  <c:v>2.1414190202584615E-2</c:v>
                </c:pt>
                <c:pt idx="23">
                  <c:v>2.1501688973481037E-2</c:v>
                </c:pt>
                <c:pt idx="24">
                  <c:v>2.1595776373608488E-2</c:v>
                </c:pt>
                <c:pt idx="25">
                  <c:v>2.1648918780475535E-2</c:v>
                </c:pt>
                <c:pt idx="26">
                  <c:v>2.1706187920846665E-2</c:v>
                </c:pt>
                <c:pt idx="27">
                  <c:v>2.1767361198229307E-2</c:v>
                </c:pt>
                <c:pt idx="28">
                  <c:v>2.1832258022360718E-2</c:v>
                </c:pt>
                <c:pt idx="29">
                  <c:v>2.1900733553396778E-2</c:v>
                </c:pt>
              </c:numCache>
            </c:numRef>
          </c:val>
          <c:smooth val="0"/>
          <c:extLst>
            <c:ext xmlns:c16="http://schemas.microsoft.com/office/drawing/2014/chart" uri="{C3380CC4-5D6E-409C-BE32-E72D297353CC}">
              <c16:uniqueId val="{00000001-B0FF-4B89-A414-703511F10057}"/>
            </c:ext>
          </c:extLst>
        </c:ser>
        <c:ser>
          <c:idx val="2"/>
          <c:order val="2"/>
          <c:tx>
            <c:strRef>
              <c:f>'Courbe de référence illiquide'!$Q$3</c:f>
              <c:strCache>
                <c:ptCount val="1"/>
                <c:pt idx="0">
                  <c:v>Prime de liquidité additionnelle</c:v>
                </c:pt>
              </c:strCache>
            </c:strRef>
          </c:tx>
          <c:spPr>
            <a:ln w="28575" cap="rnd">
              <a:solidFill>
                <a:schemeClr val="accent3"/>
              </a:solidFill>
              <a:round/>
            </a:ln>
            <a:effectLst/>
          </c:spPr>
          <c:marker>
            <c:symbol val="none"/>
          </c:marker>
          <c:cat>
            <c:numRef>
              <c:f>'Courbe de référence illiquide'!$N$4:$N$103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'Courbe de référence illiquide'!$Q$4:$Q$103</c:f>
              <c:numCache>
                <c:formatCode>0.00%</c:formatCode>
                <c:ptCount val="100"/>
                <c:pt idx="0">
                  <c:v>5.0000000000000001E-3</c:v>
                </c:pt>
                <c:pt idx="1">
                  <c:v>5.0000000000000001E-3</c:v>
                </c:pt>
                <c:pt idx="2">
                  <c:v>5.0000000000000001E-3</c:v>
                </c:pt>
                <c:pt idx="3">
                  <c:v>5.0000000000000001E-3</c:v>
                </c:pt>
                <c:pt idx="4">
                  <c:v>5.0000000000000001E-3</c:v>
                </c:pt>
                <c:pt idx="5">
                  <c:v>5.0000000000000001E-3</c:v>
                </c:pt>
                <c:pt idx="6">
                  <c:v>5.0000000000000001E-3</c:v>
                </c:pt>
                <c:pt idx="7">
                  <c:v>5.0000000000000001E-3</c:v>
                </c:pt>
                <c:pt idx="8">
                  <c:v>5.0000000000000001E-3</c:v>
                </c:pt>
                <c:pt idx="9">
                  <c:v>5.0000000000000001E-3</c:v>
                </c:pt>
                <c:pt idx="10">
                  <c:v>5.0000000000000001E-3</c:v>
                </c:pt>
                <c:pt idx="11">
                  <c:v>5.0000000000000001E-3</c:v>
                </c:pt>
                <c:pt idx="12">
                  <c:v>5.0000000000000001E-3</c:v>
                </c:pt>
                <c:pt idx="13">
                  <c:v>5.0000000000000001E-3</c:v>
                </c:pt>
                <c:pt idx="14">
                  <c:v>5.0000000000000001E-3</c:v>
                </c:pt>
                <c:pt idx="15">
                  <c:v>5.0000000000000001E-3</c:v>
                </c:pt>
                <c:pt idx="16">
                  <c:v>5.0000000000000001E-3</c:v>
                </c:pt>
                <c:pt idx="17">
                  <c:v>5.0000000000000001E-3</c:v>
                </c:pt>
                <c:pt idx="18">
                  <c:v>5.0000000000000001E-3</c:v>
                </c:pt>
                <c:pt idx="19">
                  <c:v>5.0000000000000001E-3</c:v>
                </c:pt>
                <c:pt idx="20">
                  <c:v>5.0000000000000001E-3</c:v>
                </c:pt>
                <c:pt idx="21">
                  <c:v>5.0000000000000001E-3</c:v>
                </c:pt>
                <c:pt idx="22">
                  <c:v>5.0000000000000001E-3</c:v>
                </c:pt>
                <c:pt idx="23">
                  <c:v>5.0000000000000001E-3</c:v>
                </c:pt>
                <c:pt idx="24">
                  <c:v>5.0000000000000001E-3</c:v>
                </c:pt>
                <c:pt idx="25">
                  <c:v>5.0000000000000001E-3</c:v>
                </c:pt>
                <c:pt idx="26">
                  <c:v>5.0000000000000001E-3</c:v>
                </c:pt>
                <c:pt idx="27">
                  <c:v>5.0000000000000001E-3</c:v>
                </c:pt>
                <c:pt idx="28">
                  <c:v>5.0000000000000001E-3</c:v>
                </c:pt>
                <c:pt idx="29">
                  <c:v>5.0000000000000001E-3</c:v>
                </c:pt>
              </c:numCache>
            </c:numRef>
          </c:val>
          <c:smooth val="0"/>
          <c:extLst>
            <c:ext xmlns:c16="http://schemas.microsoft.com/office/drawing/2014/chart" uri="{C3380CC4-5D6E-409C-BE32-E72D297353CC}">
              <c16:uniqueId val="{00000002-B0FF-4B89-A414-703511F10057}"/>
            </c:ext>
          </c:extLst>
        </c:ser>
        <c:ser>
          <c:idx val="3"/>
          <c:order val="3"/>
          <c:tx>
            <c:strRef>
              <c:f>'Courbe de référence illiquide'!$R$3</c:f>
              <c:strCache>
                <c:ptCount val="1"/>
                <c:pt idx="0">
                  <c:v>Prime de liquidité</c:v>
                </c:pt>
              </c:strCache>
            </c:strRef>
          </c:tx>
          <c:spPr>
            <a:ln w="28575" cap="rnd">
              <a:solidFill>
                <a:srgbClr val="00B050"/>
              </a:solidFill>
              <a:round/>
            </a:ln>
            <a:effectLst/>
          </c:spPr>
          <c:marker>
            <c:symbol val="none"/>
          </c:marker>
          <c:cat>
            <c:numRef>
              <c:f>'Courbe de référence illiquide'!$N$4:$N$103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'Courbe de référence illiquide'!$R$4:$R$103</c:f>
              <c:numCache>
                <c:formatCode>0.00%</c:formatCode>
                <c:ptCount val="100"/>
                <c:pt idx="0">
                  <c:v>2.1603099743750184E-2</c:v>
                </c:pt>
                <c:pt idx="1">
                  <c:v>2.1967309789818142E-2</c:v>
                </c:pt>
                <c:pt idx="2">
                  <c:v>2.2218775896861716E-2</c:v>
                </c:pt>
                <c:pt idx="3">
                  <c:v>2.2346026529988069E-2</c:v>
                </c:pt>
                <c:pt idx="4">
                  <c:v>2.2639584935517872E-2</c:v>
                </c:pt>
                <c:pt idx="5">
                  <c:v>2.3178816409531396E-2</c:v>
                </c:pt>
                <c:pt idx="6">
                  <c:v>2.3728112252167418E-2</c:v>
                </c:pt>
                <c:pt idx="7">
                  <c:v>2.4247559695088402E-2</c:v>
                </c:pt>
                <c:pt idx="8">
                  <c:v>2.4537817156823068E-2</c:v>
                </c:pt>
                <c:pt idx="9">
                  <c:v>2.4704304879299196E-2</c:v>
                </c:pt>
                <c:pt idx="10">
                  <c:v>2.4861259812601118E-2</c:v>
                </c:pt>
                <c:pt idx="11">
                  <c:v>2.5028233154486098E-2</c:v>
                </c:pt>
                <c:pt idx="12">
                  <c:v>2.5206133063056021E-2</c:v>
                </c:pt>
                <c:pt idx="13">
                  <c:v>2.5396002290489991E-2</c:v>
                </c:pt>
                <c:pt idx="14">
                  <c:v>2.5599039342302506E-2</c:v>
                </c:pt>
                <c:pt idx="15">
                  <c:v>2.569761455413638E-2</c:v>
                </c:pt>
                <c:pt idx="16">
                  <c:v>2.580581345042909E-2</c:v>
                </c:pt>
                <c:pt idx="17">
                  <c:v>2.5923900408212738E-2</c:v>
                </c:pt>
                <c:pt idx="18">
                  <c:v>2.605229010774129E-2</c:v>
                </c:pt>
                <c:pt idx="19">
                  <c:v>2.6191540235951712E-2</c:v>
                </c:pt>
                <c:pt idx="20">
                  <c:v>2.6259006654577807E-2</c:v>
                </c:pt>
                <c:pt idx="21">
                  <c:v>2.6333273739113313E-2</c:v>
                </c:pt>
                <c:pt idx="22">
                  <c:v>2.6414190202584616E-2</c:v>
                </c:pt>
                <c:pt idx="23">
                  <c:v>2.6501688973481038E-2</c:v>
                </c:pt>
                <c:pt idx="24">
                  <c:v>2.6595776373608489E-2</c:v>
                </c:pt>
                <c:pt idx="25">
                  <c:v>2.6648918780475536E-2</c:v>
                </c:pt>
                <c:pt idx="26">
                  <c:v>2.6706187920846666E-2</c:v>
                </c:pt>
                <c:pt idx="27">
                  <c:v>2.6767361198229308E-2</c:v>
                </c:pt>
                <c:pt idx="28">
                  <c:v>2.6832258022360719E-2</c:v>
                </c:pt>
                <c:pt idx="29">
                  <c:v>2.6900733553396779E-2</c:v>
                </c:pt>
                <c:pt idx="30">
                  <c:v>2.6603215214561861E-2</c:v>
                </c:pt>
                <c:pt idx="31">
                  <c:v>2.6305696875726942E-2</c:v>
                </c:pt>
                <c:pt idx="32">
                  <c:v>2.6008178536892024E-2</c:v>
                </c:pt>
                <c:pt idx="33">
                  <c:v>2.5710660198057105E-2</c:v>
                </c:pt>
                <c:pt idx="34">
                  <c:v>2.5413141859222187E-2</c:v>
                </c:pt>
                <c:pt idx="35">
                  <c:v>2.5115623520387268E-2</c:v>
                </c:pt>
                <c:pt idx="36">
                  <c:v>2.481810518155235E-2</c:v>
                </c:pt>
                <c:pt idx="37">
                  <c:v>2.4520586842717431E-2</c:v>
                </c:pt>
                <c:pt idx="38">
                  <c:v>2.4223068503882512E-2</c:v>
                </c:pt>
                <c:pt idx="39">
                  <c:v>2.3925550165047594E-2</c:v>
                </c:pt>
                <c:pt idx="40">
                  <c:v>2.3628031826212675E-2</c:v>
                </c:pt>
                <c:pt idx="41">
                  <c:v>2.3330513487377757E-2</c:v>
                </c:pt>
                <c:pt idx="42">
                  <c:v>2.3032995148542838E-2</c:v>
                </c:pt>
                <c:pt idx="43">
                  <c:v>2.273547680970792E-2</c:v>
                </c:pt>
                <c:pt idx="44">
                  <c:v>2.2437958470873001E-2</c:v>
                </c:pt>
                <c:pt idx="45">
                  <c:v>2.2140440132038083E-2</c:v>
                </c:pt>
                <c:pt idx="46">
                  <c:v>2.1842921793203164E-2</c:v>
                </c:pt>
                <c:pt idx="47">
                  <c:v>2.1545403454368246E-2</c:v>
                </c:pt>
                <c:pt idx="48">
                  <c:v>2.1247885115533327E-2</c:v>
                </c:pt>
                <c:pt idx="49">
                  <c:v>2.0950366776698408E-2</c:v>
                </c:pt>
                <c:pt idx="50">
                  <c:v>2.065284843786349E-2</c:v>
                </c:pt>
                <c:pt idx="51">
                  <c:v>2.0355330099028571E-2</c:v>
                </c:pt>
                <c:pt idx="52">
                  <c:v>2.0057811760193653E-2</c:v>
                </c:pt>
                <c:pt idx="53">
                  <c:v>1.9760293421358734E-2</c:v>
                </c:pt>
                <c:pt idx="54">
                  <c:v>1.9462775082523816E-2</c:v>
                </c:pt>
                <c:pt idx="55">
                  <c:v>1.9165256743688897E-2</c:v>
                </c:pt>
                <c:pt idx="56">
                  <c:v>1.8867738404853979E-2</c:v>
                </c:pt>
                <c:pt idx="57">
                  <c:v>1.857022006601906E-2</c:v>
                </c:pt>
                <c:pt idx="58">
                  <c:v>1.8272701727184142E-2</c:v>
                </c:pt>
                <c:pt idx="59">
                  <c:v>1.7975183388349223E-2</c:v>
                </c:pt>
                <c:pt idx="60">
                  <c:v>1.7677665049514305E-2</c:v>
                </c:pt>
                <c:pt idx="61">
                  <c:v>1.7380146710679386E-2</c:v>
                </c:pt>
                <c:pt idx="62">
                  <c:v>1.7082628371844467E-2</c:v>
                </c:pt>
                <c:pt idx="63">
                  <c:v>1.6785110033009549E-2</c:v>
                </c:pt>
                <c:pt idx="64">
                  <c:v>1.648759169417463E-2</c:v>
                </c:pt>
                <c:pt idx="65">
                  <c:v>1.6190073355339712E-2</c:v>
                </c:pt>
                <c:pt idx="66">
                  <c:v>1.5892555016504793E-2</c:v>
                </c:pt>
                <c:pt idx="67">
                  <c:v>1.5595036677669873E-2</c:v>
                </c:pt>
                <c:pt idx="68">
                  <c:v>1.5297518338834953E-2</c:v>
                </c:pt>
                <c:pt idx="69">
                  <c:v>1.4999999999999999E-2</c:v>
                </c:pt>
                <c:pt idx="70">
                  <c:v>1.4999999999999999E-2</c:v>
                </c:pt>
                <c:pt idx="71">
                  <c:v>1.4999999999999999E-2</c:v>
                </c:pt>
                <c:pt idx="72">
                  <c:v>1.4999999999999999E-2</c:v>
                </c:pt>
                <c:pt idx="73">
                  <c:v>1.4999999999999999E-2</c:v>
                </c:pt>
                <c:pt idx="74">
                  <c:v>1.4999999999999999E-2</c:v>
                </c:pt>
                <c:pt idx="75">
                  <c:v>1.4999999999999999E-2</c:v>
                </c:pt>
                <c:pt idx="76">
                  <c:v>1.4999999999999999E-2</c:v>
                </c:pt>
                <c:pt idx="77">
                  <c:v>1.4999999999999999E-2</c:v>
                </c:pt>
                <c:pt idx="78">
                  <c:v>1.4999999999999999E-2</c:v>
                </c:pt>
                <c:pt idx="79">
                  <c:v>1.4999999999999999E-2</c:v>
                </c:pt>
                <c:pt idx="80">
                  <c:v>1.4999999999999999E-2</c:v>
                </c:pt>
                <c:pt idx="81">
                  <c:v>1.4999999999999999E-2</c:v>
                </c:pt>
                <c:pt idx="82">
                  <c:v>1.4999999999999999E-2</c:v>
                </c:pt>
                <c:pt idx="83">
                  <c:v>1.4999999999999999E-2</c:v>
                </c:pt>
                <c:pt idx="84">
                  <c:v>1.4999999999999999E-2</c:v>
                </c:pt>
                <c:pt idx="85">
                  <c:v>1.4999999999999999E-2</c:v>
                </c:pt>
                <c:pt idx="86">
                  <c:v>1.4999999999999999E-2</c:v>
                </c:pt>
                <c:pt idx="87">
                  <c:v>1.4999999999999999E-2</c:v>
                </c:pt>
                <c:pt idx="88">
                  <c:v>1.4999999999999999E-2</c:v>
                </c:pt>
                <c:pt idx="89">
                  <c:v>1.4999999999999999E-2</c:v>
                </c:pt>
                <c:pt idx="90">
                  <c:v>1.4999999999999999E-2</c:v>
                </c:pt>
                <c:pt idx="91">
                  <c:v>1.4999999999999999E-2</c:v>
                </c:pt>
                <c:pt idx="92">
                  <c:v>1.4999999999999999E-2</c:v>
                </c:pt>
                <c:pt idx="93">
                  <c:v>1.4999999999999999E-2</c:v>
                </c:pt>
                <c:pt idx="94">
                  <c:v>1.4999999999999999E-2</c:v>
                </c:pt>
                <c:pt idx="95">
                  <c:v>1.4999999999999999E-2</c:v>
                </c:pt>
                <c:pt idx="96">
                  <c:v>1.4999999999999999E-2</c:v>
                </c:pt>
                <c:pt idx="97">
                  <c:v>1.4999999999999999E-2</c:v>
                </c:pt>
                <c:pt idx="98">
                  <c:v>1.4999999999999999E-2</c:v>
                </c:pt>
                <c:pt idx="99">
                  <c:v>1.4999999999999999E-2</c:v>
                </c:pt>
              </c:numCache>
            </c:numRef>
          </c:val>
          <c:smooth val="0"/>
          <c:extLst>
            <c:ext xmlns:c16="http://schemas.microsoft.com/office/drawing/2014/chart" uri="{C3380CC4-5D6E-409C-BE32-E72D297353CC}">
              <c16:uniqueId val="{00000003-B0FF-4B89-A414-703511F10057}"/>
            </c:ext>
          </c:extLst>
        </c:ser>
        <c:ser>
          <c:idx val="4"/>
          <c:order val="4"/>
          <c:tx>
            <c:strRef>
              <c:f>'Courbe de référence illiquide'!$S$3</c:f>
              <c:strCache>
                <c:ptCount val="1"/>
                <c:pt idx="0">
                  <c:v>  Courbe de référence illiquide au comptant</c:v>
                </c:pt>
              </c:strCache>
            </c:strRef>
          </c:tx>
          <c:spPr>
            <a:ln w="28575" cap="rnd">
              <a:solidFill>
                <a:srgbClr val="0070C0"/>
              </a:solidFill>
              <a:round/>
            </a:ln>
            <a:effectLst/>
          </c:spPr>
          <c:marker>
            <c:symbol val="none"/>
          </c:marker>
          <c:cat>
            <c:numRef>
              <c:f>'Courbe de référence illiquide'!$N$4:$N$103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'Courbe de référence illiquide'!$S$4:$S$103</c:f>
              <c:numCache>
                <c:formatCode>0.00%</c:formatCode>
                <c:ptCount val="100"/>
                <c:pt idx="0">
                  <c:v>2.5867636643750021E-2</c:v>
                </c:pt>
                <c:pt idx="1">
                  <c:v>2.653328058301235E-2</c:v>
                </c:pt>
                <c:pt idx="2">
                  <c:v>2.7359000507883199E-2</c:v>
                </c:pt>
                <c:pt idx="3">
                  <c:v>2.8193947702214724E-2</c:v>
                </c:pt>
                <c:pt idx="4">
                  <c:v>2.8800861345885217E-2</c:v>
                </c:pt>
                <c:pt idx="5">
                  <c:v>2.9608731116431416E-2</c:v>
                </c:pt>
                <c:pt idx="6">
                  <c:v>3.0427769395308221E-2</c:v>
                </c:pt>
                <c:pt idx="7">
                  <c:v>3.1017004696775482E-2</c:v>
                </c:pt>
                <c:pt idx="8">
                  <c:v>3.1802398458710746E-2</c:v>
                </c:pt>
                <c:pt idx="9">
                  <c:v>3.2519042301758949E-2</c:v>
                </c:pt>
                <c:pt idx="10">
                  <c:v>3.336081542863012E-2</c:v>
                </c:pt>
                <c:pt idx="11">
                  <c:v>3.4218340918508727E-2</c:v>
                </c:pt>
                <c:pt idx="12">
                  <c:v>3.5093169533624569E-2</c:v>
                </c:pt>
                <c:pt idx="13">
                  <c:v>3.5987020480348964E-2</c:v>
                </c:pt>
                <c:pt idx="14">
                  <c:v>3.6901809911842165E-2</c:v>
                </c:pt>
                <c:pt idx="15">
                  <c:v>3.7415775673890261E-2</c:v>
                </c:pt>
                <c:pt idx="16">
                  <c:v>3.79435049350767E-2</c:v>
                </c:pt>
                <c:pt idx="17">
                  <c:v>3.8485492157771695E-2</c:v>
                </c:pt>
                <c:pt idx="18">
                  <c:v>3.9042408690565134E-2</c:v>
                </c:pt>
                <c:pt idx="19">
                  <c:v>3.9615094745790391E-2</c:v>
                </c:pt>
                <c:pt idx="20">
                  <c:v>3.9790375301369307E-2</c:v>
                </c:pt>
                <c:pt idx="21">
                  <c:v>3.9974492278290308E-2</c:v>
                </c:pt>
                <c:pt idx="22">
                  <c:v>4.0167166888481431E-2</c:v>
                </c:pt>
                <c:pt idx="23">
                  <c:v>4.0368231724632331E-2</c:v>
                </c:pt>
                <c:pt idx="24">
                  <c:v>4.0577614780602789E-2</c:v>
                </c:pt>
                <c:pt idx="25">
                  <c:v>4.05759131605537E-2</c:v>
                </c:pt>
                <c:pt idx="26">
                  <c:v>4.0579715393682547E-2</c:v>
                </c:pt>
                <c:pt idx="27">
                  <c:v>4.058863507187338E-2</c:v>
                </c:pt>
                <c:pt idx="28">
                  <c:v>4.0602350428497969E-2</c:v>
                </c:pt>
                <c:pt idx="29">
                  <c:v>4.0620594314876912E-2</c:v>
                </c:pt>
                <c:pt idx="30">
                  <c:v>4.0980079457004985E-2</c:v>
                </c:pt>
                <c:pt idx="31">
                  <c:v>4.1339564599133065E-2</c:v>
                </c:pt>
                <c:pt idx="32">
                  <c:v>4.1699049741261145E-2</c:v>
                </c:pt>
                <c:pt idx="33">
                  <c:v>4.2058534883389224E-2</c:v>
                </c:pt>
                <c:pt idx="34">
                  <c:v>4.2418020025517304E-2</c:v>
                </c:pt>
                <c:pt idx="35">
                  <c:v>4.2777505167645384E-2</c:v>
                </c:pt>
                <c:pt idx="36">
                  <c:v>4.3136990309773464E-2</c:v>
                </c:pt>
                <c:pt idx="37">
                  <c:v>4.3496475451901544E-2</c:v>
                </c:pt>
                <c:pt idx="38">
                  <c:v>4.3855960594029623E-2</c:v>
                </c:pt>
                <c:pt idx="39">
                  <c:v>4.4215445736157703E-2</c:v>
                </c:pt>
                <c:pt idx="40">
                  <c:v>4.4574930878285783E-2</c:v>
                </c:pt>
                <c:pt idx="41">
                  <c:v>4.4934416020413863E-2</c:v>
                </c:pt>
                <c:pt idx="42">
                  <c:v>4.5293901162541943E-2</c:v>
                </c:pt>
                <c:pt idx="43">
                  <c:v>4.5653386304670023E-2</c:v>
                </c:pt>
                <c:pt idx="44">
                  <c:v>4.6012871446798102E-2</c:v>
                </c:pt>
                <c:pt idx="45">
                  <c:v>4.6372356588926182E-2</c:v>
                </c:pt>
                <c:pt idx="46">
                  <c:v>4.6731841731054262E-2</c:v>
                </c:pt>
                <c:pt idx="47">
                  <c:v>4.7091326873182342E-2</c:v>
                </c:pt>
                <c:pt idx="48">
                  <c:v>4.7450812015310422E-2</c:v>
                </c:pt>
                <c:pt idx="49">
                  <c:v>4.7810297157438501E-2</c:v>
                </c:pt>
                <c:pt idx="50">
                  <c:v>4.8169782299566581E-2</c:v>
                </c:pt>
                <c:pt idx="51">
                  <c:v>4.8529267441694661E-2</c:v>
                </c:pt>
                <c:pt idx="52">
                  <c:v>4.8888752583822741E-2</c:v>
                </c:pt>
                <c:pt idx="53">
                  <c:v>4.9248237725950821E-2</c:v>
                </c:pt>
                <c:pt idx="54">
                  <c:v>4.96077228680789E-2</c:v>
                </c:pt>
                <c:pt idx="55">
                  <c:v>4.996720801020698E-2</c:v>
                </c:pt>
                <c:pt idx="56">
                  <c:v>5.032669315233506E-2</c:v>
                </c:pt>
                <c:pt idx="57">
                  <c:v>5.0686178294463133E-2</c:v>
                </c:pt>
                <c:pt idx="58">
                  <c:v>5.1045663436591213E-2</c:v>
                </c:pt>
                <c:pt idx="59">
                  <c:v>5.1405148578719292E-2</c:v>
                </c:pt>
                <c:pt idx="60">
                  <c:v>5.1764633720847365E-2</c:v>
                </c:pt>
                <c:pt idx="61">
                  <c:v>5.2124118862975438E-2</c:v>
                </c:pt>
                <c:pt idx="62">
                  <c:v>5.2483604005103518E-2</c:v>
                </c:pt>
                <c:pt idx="63">
                  <c:v>5.2843089147231598E-2</c:v>
                </c:pt>
                <c:pt idx="64">
                  <c:v>5.3202574289359671E-2</c:v>
                </c:pt>
                <c:pt idx="65">
                  <c:v>5.3562059431487744E-2</c:v>
                </c:pt>
                <c:pt idx="66">
                  <c:v>5.3921544573615823E-2</c:v>
                </c:pt>
                <c:pt idx="67">
                  <c:v>5.4281029715743896E-2</c:v>
                </c:pt>
                <c:pt idx="68">
                  <c:v>5.4640514857871969E-2</c:v>
                </c:pt>
                <c:pt idx="69">
                  <c:v>5.5E-2</c:v>
                </c:pt>
                <c:pt idx="70">
                  <c:v>5.5E-2</c:v>
                </c:pt>
                <c:pt idx="71">
                  <c:v>5.5E-2</c:v>
                </c:pt>
                <c:pt idx="72">
                  <c:v>5.5E-2</c:v>
                </c:pt>
                <c:pt idx="73">
                  <c:v>5.5E-2</c:v>
                </c:pt>
                <c:pt idx="74">
                  <c:v>5.5E-2</c:v>
                </c:pt>
                <c:pt idx="75">
                  <c:v>5.5E-2</c:v>
                </c:pt>
                <c:pt idx="76">
                  <c:v>5.5E-2</c:v>
                </c:pt>
                <c:pt idx="77">
                  <c:v>5.5E-2</c:v>
                </c:pt>
                <c:pt idx="78">
                  <c:v>5.5E-2</c:v>
                </c:pt>
                <c:pt idx="79">
                  <c:v>5.5E-2</c:v>
                </c:pt>
                <c:pt idx="80">
                  <c:v>5.5E-2</c:v>
                </c:pt>
                <c:pt idx="81">
                  <c:v>5.5E-2</c:v>
                </c:pt>
                <c:pt idx="82">
                  <c:v>5.5E-2</c:v>
                </c:pt>
                <c:pt idx="83">
                  <c:v>5.5E-2</c:v>
                </c:pt>
                <c:pt idx="84">
                  <c:v>5.5E-2</c:v>
                </c:pt>
                <c:pt idx="85">
                  <c:v>5.5E-2</c:v>
                </c:pt>
                <c:pt idx="86">
                  <c:v>5.5E-2</c:v>
                </c:pt>
                <c:pt idx="87">
                  <c:v>5.5E-2</c:v>
                </c:pt>
                <c:pt idx="88">
                  <c:v>5.5E-2</c:v>
                </c:pt>
                <c:pt idx="89">
                  <c:v>5.5E-2</c:v>
                </c:pt>
                <c:pt idx="90">
                  <c:v>5.5E-2</c:v>
                </c:pt>
                <c:pt idx="91">
                  <c:v>5.5E-2</c:v>
                </c:pt>
                <c:pt idx="92">
                  <c:v>5.5E-2</c:v>
                </c:pt>
                <c:pt idx="93">
                  <c:v>5.5E-2</c:v>
                </c:pt>
                <c:pt idx="94">
                  <c:v>5.5E-2</c:v>
                </c:pt>
                <c:pt idx="95">
                  <c:v>5.5E-2</c:v>
                </c:pt>
                <c:pt idx="96">
                  <c:v>5.5E-2</c:v>
                </c:pt>
                <c:pt idx="97">
                  <c:v>5.5E-2</c:v>
                </c:pt>
                <c:pt idx="98">
                  <c:v>5.5E-2</c:v>
                </c:pt>
                <c:pt idx="99">
                  <c:v>5.5E-2</c:v>
                </c:pt>
              </c:numCache>
            </c:numRef>
          </c:val>
          <c:smooth val="0"/>
          <c:extLst>
            <c:ext xmlns:c16="http://schemas.microsoft.com/office/drawing/2014/chart" uri="{C3380CC4-5D6E-409C-BE32-E72D297353CC}">
              <c16:uniqueId val="{00000004-B0FF-4B89-A414-703511F10057}"/>
            </c:ext>
          </c:extLst>
        </c:ser>
        <c:ser>
          <c:idx val="5"/>
          <c:order val="5"/>
          <c:tx>
            <c:strRef>
              <c:f>'Courbe de référence illiquide'!$T$3</c:f>
              <c:strCache>
                <c:ptCount val="1"/>
                <c:pt idx="0">
                  <c:v>Courbe de référence illiquide à terme</c:v>
                </c:pt>
              </c:strCache>
            </c:strRef>
          </c:tx>
          <c:spPr>
            <a:ln w="28575" cap="rnd">
              <a:solidFill>
                <a:schemeClr val="accent4">
                  <a:lumMod val="40000"/>
                  <a:lumOff val="60000"/>
                </a:schemeClr>
              </a:solidFill>
              <a:round/>
            </a:ln>
            <a:effectLst/>
          </c:spPr>
          <c:marker>
            <c:symbol val="none"/>
          </c:marker>
          <c:cat>
            <c:numRef>
              <c:f>'Courbe de référence illiquide'!$N$4:$N$103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'Courbe de référence illiquide'!$T$4:$T$103</c:f>
              <c:numCache>
                <c:formatCode>0.00%</c:formatCode>
                <c:ptCount val="100"/>
                <c:pt idx="0">
                  <c:v>2.5867636643750021E-2</c:v>
                </c:pt>
                <c:pt idx="1">
                  <c:v>2.7199356431653721E-2</c:v>
                </c:pt>
                <c:pt idx="2">
                  <c:v>2.9012433462628717E-2</c:v>
                </c:pt>
                <c:pt idx="3">
                  <c:v>3.0702862922222574E-2</c:v>
                </c:pt>
                <c:pt idx="4">
                  <c:v>3.1232100474425151E-2</c:v>
                </c:pt>
                <c:pt idx="5">
                  <c:v>3.3657605679990432E-2</c:v>
                </c:pt>
                <c:pt idx="6">
                  <c:v>3.5355699408553543E-2</c:v>
                </c:pt>
                <c:pt idx="7">
                  <c:v>3.5151097085242222E-2</c:v>
                </c:pt>
                <c:pt idx="8">
                  <c:v>3.8107125188554969E-2</c:v>
                </c:pt>
                <c:pt idx="9">
                  <c:v>3.8991277121003476E-2</c:v>
                </c:pt>
                <c:pt idx="10">
                  <c:v>4.1816383755045594E-2</c:v>
                </c:pt>
                <c:pt idx="11">
                  <c:v>4.3698217730070876E-2</c:v>
                </c:pt>
                <c:pt idx="12">
                  <c:v>4.5649012584362492E-2</c:v>
                </c:pt>
                <c:pt idx="13">
                  <c:v>4.7677567229385875E-2</c:v>
                </c:pt>
                <c:pt idx="14">
                  <c:v>4.9794003250080321E-2</c:v>
                </c:pt>
                <c:pt idx="15">
                  <c:v>4.5155904099500876E-2</c:v>
                </c:pt>
                <c:pt idx="16">
                  <c:v>4.6423775853675409E-2</c:v>
                </c:pt>
                <c:pt idx="17">
                  <c:v>4.7742696558847442E-2</c:v>
                </c:pt>
                <c:pt idx="18">
                  <c:v>4.9118132995515484E-2</c:v>
                </c:pt>
                <c:pt idx="19">
                  <c:v>5.0556301282377536E-2</c:v>
                </c:pt>
                <c:pt idx="20">
                  <c:v>4.3302199079548798E-2</c:v>
                </c:pt>
                <c:pt idx="21">
                  <c:v>4.3848488712279421E-2</c:v>
                </c:pt>
                <c:pt idx="22">
                  <c:v>4.4415051264077521E-2</c:v>
                </c:pt>
                <c:pt idx="23">
                  <c:v>4.5003465175213364E-2</c:v>
                </c:pt>
                <c:pt idx="24">
                  <c:v>4.5615469694298305E-2</c:v>
                </c:pt>
                <c:pt idx="25">
                  <c:v>4.0533373563657493E-2</c:v>
                </c:pt>
                <c:pt idx="26">
                  <c:v>4.067857833171451E-2</c:v>
                </c:pt>
                <c:pt idx="27">
                  <c:v>4.0829495286299089E-2</c:v>
                </c:pt>
                <c:pt idx="28">
                  <c:v>4.0986453816798329E-2</c:v>
                </c:pt>
                <c:pt idx="29">
                  <c:v>4.1149806178526038E-2</c:v>
                </c:pt>
                <c:pt idx="30">
                  <c:v>5.1822573093040836E-2</c:v>
                </c:pt>
                <c:pt idx="31">
                  <c:v>5.2545391711970035E-2</c:v>
                </c:pt>
                <c:pt idx="32">
                  <c:v>5.3268333094422804E-2</c:v>
                </c:pt>
                <c:pt idx="33">
                  <c:v>5.3991397155201293E-2</c:v>
                </c:pt>
                <c:pt idx="34">
                  <c:v>5.4714583809159834E-2</c:v>
                </c:pt>
                <c:pt idx="35">
                  <c:v>5.5437892971266889E-2</c:v>
                </c:pt>
                <c:pt idx="36">
                  <c:v>5.6161324556545766E-2</c:v>
                </c:pt>
                <c:pt idx="37">
                  <c:v>5.6884878480104151E-2</c:v>
                </c:pt>
                <c:pt idx="38">
                  <c:v>5.7608554657075706E-2</c:v>
                </c:pt>
                <c:pt idx="39">
                  <c:v>5.8332353002745752E-2</c:v>
                </c:pt>
                <c:pt idx="40">
                  <c:v>5.9056273432413819E-2</c:v>
                </c:pt>
                <c:pt idx="41">
                  <c:v>5.9780315861488686E-2</c:v>
                </c:pt>
                <c:pt idx="42">
                  <c:v>6.0504480205403333E-2</c:v>
                </c:pt>
                <c:pt idx="43">
                  <c:v>6.1228766379730404E-2</c:v>
                </c:pt>
                <c:pt idx="44">
                  <c:v>6.1953174300068969E-2</c:v>
                </c:pt>
                <c:pt idx="45">
                  <c:v>6.2677703882121572E-2</c:v>
                </c:pt>
                <c:pt idx="46">
                  <c:v>6.3402355041604075E-2</c:v>
                </c:pt>
                <c:pt idx="47">
                  <c:v>6.4127127694383557E-2</c:v>
                </c:pt>
                <c:pt idx="48">
                  <c:v>6.4852021756377054E-2</c:v>
                </c:pt>
                <c:pt idx="49">
                  <c:v>6.5577037143535355E-2</c:v>
                </c:pt>
                <c:pt idx="50">
                  <c:v>6.630217377190939E-2</c:v>
                </c:pt>
                <c:pt idx="51">
                  <c:v>6.7027431557640016E-2</c:v>
                </c:pt>
                <c:pt idx="52">
                  <c:v>6.7752810416918496E-2</c:v>
                </c:pt>
                <c:pt idx="53">
                  <c:v>6.8478310266013587E-2</c:v>
                </c:pt>
                <c:pt idx="54">
                  <c:v>6.9203931021257548E-2</c:v>
                </c:pt>
                <c:pt idx="55">
                  <c:v>6.9929672599076342E-2</c:v>
                </c:pt>
                <c:pt idx="56">
                  <c:v>7.0655534915967211E-2</c:v>
                </c:pt>
                <c:pt idx="57">
                  <c:v>7.1381517888473356E-2</c:v>
                </c:pt>
                <c:pt idx="58">
                  <c:v>7.2107621433215696E-2</c:v>
                </c:pt>
                <c:pt idx="59">
                  <c:v>7.2833845466916403E-2</c:v>
                </c:pt>
                <c:pt idx="60">
                  <c:v>7.356018990635893E-2</c:v>
                </c:pt>
                <c:pt idx="61">
                  <c:v>7.4286654668391794E-2</c:v>
                </c:pt>
                <c:pt idx="62">
                  <c:v>7.501323966989748E-2</c:v>
                </c:pt>
                <c:pt idx="63">
                  <c:v>7.5739944827915018E-2</c:v>
                </c:pt>
                <c:pt idx="64">
                  <c:v>7.646677005947855E-2</c:v>
                </c:pt>
                <c:pt idx="65">
                  <c:v>7.7193715281762998E-2</c:v>
                </c:pt>
                <c:pt idx="66">
                  <c:v>7.7920780411919299E-2</c:v>
                </c:pt>
                <c:pt idx="67">
                  <c:v>7.8647965367260486E-2</c:v>
                </c:pt>
                <c:pt idx="68">
                  <c:v>7.9375270065147774E-2</c:v>
                </c:pt>
                <c:pt idx="69">
                  <c:v>8.01026944229839E-2</c:v>
                </c:pt>
                <c:pt idx="70">
                  <c:v>5.4999999999999716E-2</c:v>
                </c:pt>
                <c:pt idx="71">
                  <c:v>5.500000000000016E-2</c:v>
                </c:pt>
                <c:pt idx="72">
                  <c:v>5.4999999999999938E-2</c:v>
                </c:pt>
                <c:pt idx="73">
                  <c:v>5.500000000000016E-2</c:v>
                </c:pt>
                <c:pt idx="74">
                  <c:v>5.4999999999999938E-2</c:v>
                </c:pt>
                <c:pt idx="75">
                  <c:v>5.4999999999999938E-2</c:v>
                </c:pt>
                <c:pt idx="76">
                  <c:v>5.4999999999999938E-2</c:v>
                </c:pt>
                <c:pt idx="77">
                  <c:v>5.4999999999999938E-2</c:v>
                </c:pt>
                <c:pt idx="78">
                  <c:v>5.4999999999999938E-2</c:v>
                </c:pt>
                <c:pt idx="79">
                  <c:v>5.4999999999999938E-2</c:v>
                </c:pt>
                <c:pt idx="80">
                  <c:v>5.4999999999999938E-2</c:v>
                </c:pt>
                <c:pt idx="81">
                  <c:v>5.4999999999999938E-2</c:v>
                </c:pt>
                <c:pt idx="82">
                  <c:v>5.4999999999999938E-2</c:v>
                </c:pt>
                <c:pt idx="83">
                  <c:v>5.500000000000016E-2</c:v>
                </c:pt>
                <c:pt idx="84">
                  <c:v>5.4999999999999938E-2</c:v>
                </c:pt>
                <c:pt idx="85">
                  <c:v>5.4999999999999938E-2</c:v>
                </c:pt>
                <c:pt idx="86">
                  <c:v>5.4999999999999938E-2</c:v>
                </c:pt>
                <c:pt idx="87">
                  <c:v>5.4999999999999938E-2</c:v>
                </c:pt>
                <c:pt idx="88">
                  <c:v>5.4999999999999938E-2</c:v>
                </c:pt>
                <c:pt idx="89">
                  <c:v>5.500000000000016E-2</c:v>
                </c:pt>
                <c:pt idx="90">
                  <c:v>5.4999999999999938E-2</c:v>
                </c:pt>
                <c:pt idx="91">
                  <c:v>5.4999999999999938E-2</c:v>
                </c:pt>
                <c:pt idx="92">
                  <c:v>5.4999999999999716E-2</c:v>
                </c:pt>
                <c:pt idx="93">
                  <c:v>5.4999999999999938E-2</c:v>
                </c:pt>
                <c:pt idx="94">
                  <c:v>5.4999999999999938E-2</c:v>
                </c:pt>
                <c:pt idx="95">
                  <c:v>5.4999999999999938E-2</c:v>
                </c:pt>
                <c:pt idx="96">
                  <c:v>5.4999999999999938E-2</c:v>
                </c:pt>
                <c:pt idx="97">
                  <c:v>5.4999999999999938E-2</c:v>
                </c:pt>
                <c:pt idx="98">
                  <c:v>5.4999999999999716E-2</c:v>
                </c:pt>
                <c:pt idx="99">
                  <c:v>5.500000000000016E-2</c:v>
                </c:pt>
              </c:numCache>
            </c:numRef>
          </c:val>
          <c:smooth val="0"/>
          <c:extLst>
            <c:ext xmlns:c16="http://schemas.microsoft.com/office/drawing/2014/chart" uri="{C3380CC4-5D6E-409C-BE32-E72D297353CC}">
              <c16:uniqueId val="{00000069-70BD-4306-89DE-A0DA16C82222}"/>
            </c:ext>
          </c:extLst>
        </c:ser>
        <c:dLbls>
          <c:showLegendKey val="0"/>
          <c:showVal val="0"/>
          <c:showCatName val="0"/>
          <c:showSerName val="0"/>
          <c:showPercent val="0"/>
          <c:showBubbleSize val="0"/>
        </c:dLbls>
        <c:smooth val="0"/>
        <c:axId val="154689120"/>
        <c:axId val="154688728"/>
      </c:lineChart>
      <c:catAx>
        <c:axId val="15468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688728"/>
        <c:crosses val="autoZero"/>
        <c:auto val="1"/>
        <c:lblAlgn val="ctr"/>
        <c:lblOffset val="100"/>
        <c:noMultiLvlLbl val="0"/>
      </c:catAx>
      <c:valAx>
        <c:axId val="15468872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689120"/>
        <c:crosses val="autoZero"/>
        <c:crossBetween val="between"/>
      </c:valAx>
      <c:spPr>
        <a:noFill/>
        <a:ln>
          <a:noFill/>
        </a:ln>
        <a:effectLst/>
      </c:spPr>
    </c:plotArea>
    <c:legend>
      <c:legendPos val="r"/>
      <c:layout>
        <c:manualLayout>
          <c:xMode val="edge"/>
          <c:yMode val="edge"/>
          <c:x val="6.631931792839621E-2"/>
          <c:y val="3.6441209639608077E-2"/>
          <c:w val="0.90044897329010354"/>
          <c:h val="0.16013175187790671"/>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717160402072959E-2"/>
          <c:y val="3.2806534441694783E-2"/>
          <c:w val="0.90178554447466652"/>
          <c:h val="0.85975916903889771"/>
        </c:manualLayout>
      </c:layout>
      <c:lineChart>
        <c:grouping val="standard"/>
        <c:varyColors val="0"/>
        <c:ser>
          <c:idx val="0"/>
          <c:order val="0"/>
          <c:tx>
            <c:strRef>
              <c:f>'Courbe de référence liquide'!$O$3</c:f>
              <c:strCache>
                <c:ptCount val="1"/>
                <c:pt idx="0">
                  <c:v>Courbe sans risque</c:v>
                </c:pt>
              </c:strCache>
            </c:strRef>
          </c:tx>
          <c:spPr>
            <a:ln w="28575" cap="rnd">
              <a:solidFill>
                <a:schemeClr val="accent1">
                  <a:lumMod val="20000"/>
                  <a:lumOff val="80000"/>
                </a:schemeClr>
              </a:solidFill>
              <a:round/>
            </a:ln>
            <a:effectLst/>
          </c:spPr>
          <c:marker>
            <c:symbol val="none"/>
          </c:marker>
          <c:cat>
            <c:numRef>
              <c:f>'Courbe de référence liquide'!$N$4:$N$103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'Courbe de référence liquide'!$O$4:$O$103</c:f>
              <c:numCache>
                <c:formatCode>0.00%</c:formatCode>
                <c:ptCount val="100"/>
                <c:pt idx="0">
                  <c:v>4.2645368999998379E-3</c:v>
                </c:pt>
                <c:pt idx="1">
                  <c:v>4.5659707931942073E-3</c:v>
                </c:pt>
                <c:pt idx="2">
                  <c:v>5.1402246110214822E-3</c:v>
                </c:pt>
                <c:pt idx="3">
                  <c:v>5.8479211722266555E-3</c:v>
                </c:pt>
                <c:pt idx="4">
                  <c:v>6.1612764103673445E-3</c:v>
                </c:pt>
                <c:pt idx="5">
                  <c:v>6.4299147069000195E-3</c:v>
                </c:pt>
                <c:pt idx="6">
                  <c:v>6.6996571431408025E-3</c:v>
                </c:pt>
                <c:pt idx="7">
                  <c:v>6.76944500168708E-3</c:v>
                </c:pt>
                <c:pt idx="8">
                  <c:v>7.2645813018876737E-3</c:v>
                </c:pt>
                <c:pt idx="9">
                  <c:v>7.8147374224597499E-3</c:v>
                </c:pt>
                <c:pt idx="10">
                  <c:v>8.4995556160289976E-3</c:v>
                </c:pt>
                <c:pt idx="11">
                  <c:v>9.1901077640226259E-3</c:v>
                </c:pt>
                <c:pt idx="12">
                  <c:v>9.8870364705685443E-3</c:v>
                </c:pt>
                <c:pt idx="13">
                  <c:v>1.0591018189858969E-2</c:v>
                </c:pt>
                <c:pt idx="14">
                  <c:v>1.1302770569539655E-2</c:v>
                </c:pt>
                <c:pt idx="15">
                  <c:v>1.1718161119753878E-2</c:v>
                </c:pt>
                <c:pt idx="16">
                  <c:v>1.2137691484647606E-2</c:v>
                </c:pt>
                <c:pt idx="17">
                  <c:v>1.2561591749558954E-2</c:v>
                </c:pt>
                <c:pt idx="18">
                  <c:v>1.299011858282384E-2</c:v>
                </c:pt>
                <c:pt idx="19">
                  <c:v>1.3423554509838675E-2</c:v>
                </c:pt>
                <c:pt idx="20">
                  <c:v>1.3531368646791497E-2</c:v>
                </c:pt>
                <c:pt idx="21">
                  <c:v>1.3641218539176991E-2</c:v>
                </c:pt>
                <c:pt idx="22">
                  <c:v>1.3752976685896812E-2</c:v>
                </c:pt>
                <c:pt idx="23">
                  <c:v>1.386654275115129E-2</c:v>
                </c:pt>
                <c:pt idx="24">
                  <c:v>1.3981838406994296E-2</c:v>
                </c:pt>
                <c:pt idx="25">
                  <c:v>1.3926994380078161E-2</c:v>
                </c:pt>
                <c:pt idx="26">
                  <c:v>1.3873527472835878E-2</c:v>
                </c:pt>
                <c:pt idx="27">
                  <c:v>1.3821273873644069E-2</c:v>
                </c:pt>
                <c:pt idx="28">
                  <c:v>1.3770092406137246E-2</c:v>
                </c:pt>
                <c:pt idx="29">
                  <c:v>1.3719860761480129E-2</c:v>
                </c:pt>
                <c:pt idx="30">
                  <c:v>1.4376864242443126E-2</c:v>
                </c:pt>
                <c:pt idx="31">
                  <c:v>1.5033867723406123E-2</c:v>
                </c:pt>
                <c:pt idx="32">
                  <c:v>1.5690871204369121E-2</c:v>
                </c:pt>
                <c:pt idx="33">
                  <c:v>1.6347874685332119E-2</c:v>
                </c:pt>
                <c:pt idx="34">
                  <c:v>1.7004878166295118E-2</c:v>
                </c:pt>
                <c:pt idx="35">
                  <c:v>1.7661881647258116E-2</c:v>
                </c:pt>
                <c:pt idx="36">
                  <c:v>1.8318885128221114E-2</c:v>
                </c:pt>
                <c:pt idx="37">
                  <c:v>1.8975888609184113E-2</c:v>
                </c:pt>
                <c:pt idx="38">
                  <c:v>1.9632892090147111E-2</c:v>
                </c:pt>
                <c:pt idx="39">
                  <c:v>2.0289895571110109E-2</c:v>
                </c:pt>
                <c:pt idx="40">
                  <c:v>2.0946899052073108E-2</c:v>
                </c:pt>
                <c:pt idx="41">
                  <c:v>2.1603902533036106E-2</c:v>
                </c:pt>
                <c:pt idx="42">
                  <c:v>2.2260906013999104E-2</c:v>
                </c:pt>
                <c:pt idx="43">
                  <c:v>2.2917909494962103E-2</c:v>
                </c:pt>
                <c:pt idx="44">
                  <c:v>2.3574912975925101E-2</c:v>
                </c:pt>
                <c:pt idx="45">
                  <c:v>2.4231916456888099E-2</c:v>
                </c:pt>
                <c:pt idx="46">
                  <c:v>2.4888919937851098E-2</c:v>
                </c:pt>
                <c:pt idx="47">
                  <c:v>2.5545923418814096E-2</c:v>
                </c:pt>
                <c:pt idx="48">
                  <c:v>2.6202926899777094E-2</c:v>
                </c:pt>
                <c:pt idx="49">
                  <c:v>2.6859930380740093E-2</c:v>
                </c:pt>
                <c:pt idx="50">
                  <c:v>2.7516933861703091E-2</c:v>
                </c:pt>
                <c:pt idx="51">
                  <c:v>2.817393734266609E-2</c:v>
                </c:pt>
                <c:pt idx="52">
                  <c:v>2.8830940823629088E-2</c:v>
                </c:pt>
                <c:pt idx="53">
                  <c:v>2.9487944304592086E-2</c:v>
                </c:pt>
                <c:pt idx="54">
                  <c:v>3.0144947785555085E-2</c:v>
                </c:pt>
                <c:pt idx="55">
                  <c:v>3.0801951266518083E-2</c:v>
                </c:pt>
                <c:pt idx="56">
                  <c:v>3.1458954747481081E-2</c:v>
                </c:pt>
                <c:pt idx="57">
                  <c:v>3.2115958228444076E-2</c:v>
                </c:pt>
                <c:pt idx="58">
                  <c:v>3.2772961709407071E-2</c:v>
                </c:pt>
                <c:pt idx="59">
                  <c:v>3.3429965190370066E-2</c:v>
                </c:pt>
                <c:pt idx="60">
                  <c:v>3.4086968671333061E-2</c:v>
                </c:pt>
                <c:pt idx="61">
                  <c:v>3.4743972152296056E-2</c:v>
                </c:pt>
                <c:pt idx="62">
                  <c:v>3.5400975633259051E-2</c:v>
                </c:pt>
                <c:pt idx="63">
                  <c:v>3.6057979114222045E-2</c:v>
                </c:pt>
                <c:pt idx="64">
                  <c:v>3.671498259518504E-2</c:v>
                </c:pt>
                <c:pt idx="65">
                  <c:v>3.7371986076148035E-2</c:v>
                </c:pt>
                <c:pt idx="66">
                  <c:v>3.802898955711103E-2</c:v>
                </c:pt>
                <c:pt idx="67">
                  <c:v>3.8685993038074025E-2</c:v>
                </c:pt>
                <c:pt idx="68">
                  <c:v>3.934299651903702E-2</c:v>
                </c:pt>
                <c:pt idx="69">
                  <c:v>0.04</c:v>
                </c:pt>
                <c:pt idx="70">
                  <c:v>0.04</c:v>
                </c:pt>
                <c:pt idx="71">
                  <c:v>0.04</c:v>
                </c:pt>
                <c:pt idx="72">
                  <c:v>0.04</c:v>
                </c:pt>
                <c:pt idx="73">
                  <c:v>0.04</c:v>
                </c:pt>
                <c:pt idx="74">
                  <c:v>0.04</c:v>
                </c:pt>
                <c:pt idx="75">
                  <c:v>0.04</c:v>
                </c:pt>
                <c:pt idx="76">
                  <c:v>0.04</c:v>
                </c:pt>
                <c:pt idx="77">
                  <c:v>0.04</c:v>
                </c:pt>
                <c:pt idx="78">
                  <c:v>0.04</c:v>
                </c:pt>
                <c:pt idx="79">
                  <c:v>0.04</c:v>
                </c:pt>
                <c:pt idx="80">
                  <c:v>0.04</c:v>
                </c:pt>
                <c:pt idx="81">
                  <c:v>0.04</c:v>
                </c:pt>
                <c:pt idx="82">
                  <c:v>0.04</c:v>
                </c:pt>
                <c:pt idx="83">
                  <c:v>0.04</c:v>
                </c:pt>
                <c:pt idx="84">
                  <c:v>0.04</c:v>
                </c:pt>
                <c:pt idx="85">
                  <c:v>0.04</c:v>
                </c:pt>
                <c:pt idx="86">
                  <c:v>0.04</c:v>
                </c:pt>
                <c:pt idx="87">
                  <c:v>0.04</c:v>
                </c:pt>
                <c:pt idx="88">
                  <c:v>0.04</c:v>
                </c:pt>
                <c:pt idx="89">
                  <c:v>0.04</c:v>
                </c:pt>
                <c:pt idx="90">
                  <c:v>0.04</c:v>
                </c:pt>
                <c:pt idx="91">
                  <c:v>0.04</c:v>
                </c:pt>
                <c:pt idx="92">
                  <c:v>0.04</c:v>
                </c:pt>
                <c:pt idx="93">
                  <c:v>0.04</c:v>
                </c:pt>
                <c:pt idx="94">
                  <c:v>0.04</c:v>
                </c:pt>
                <c:pt idx="95">
                  <c:v>0.04</c:v>
                </c:pt>
                <c:pt idx="96">
                  <c:v>0.04</c:v>
                </c:pt>
                <c:pt idx="97">
                  <c:v>0.04</c:v>
                </c:pt>
                <c:pt idx="98">
                  <c:v>0.04</c:v>
                </c:pt>
                <c:pt idx="99">
                  <c:v>0.04</c:v>
                </c:pt>
              </c:numCache>
            </c:numRef>
          </c:val>
          <c:smooth val="0"/>
          <c:extLst>
            <c:ext xmlns:c16="http://schemas.microsoft.com/office/drawing/2014/chart" uri="{C3380CC4-5D6E-409C-BE32-E72D297353CC}">
              <c16:uniqueId val="{00000000-6234-4420-BA03-9639A3F23222}"/>
            </c:ext>
          </c:extLst>
        </c:ser>
        <c:ser>
          <c:idx val="1"/>
          <c:order val="1"/>
          <c:tx>
            <c:strRef>
              <c:f>'Courbe de référence liquide'!$P$3</c:f>
              <c:strCache>
                <c:ptCount val="1"/>
                <c:pt idx="0">
                  <c:v>Écart de liquidité</c:v>
                </c:pt>
              </c:strCache>
            </c:strRef>
          </c:tx>
          <c:spPr>
            <a:ln w="28575" cap="rnd">
              <a:solidFill>
                <a:schemeClr val="accent2"/>
              </a:solidFill>
              <a:round/>
            </a:ln>
            <a:effectLst/>
          </c:spPr>
          <c:marker>
            <c:symbol val="none"/>
          </c:marker>
          <c:cat>
            <c:numRef>
              <c:f>'Courbe de référence liquide'!$N$4:$N$103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'Courbe de référence liquide'!$P$4:$P$103</c:f>
              <c:numCache>
                <c:formatCode>0.00%</c:formatCode>
                <c:ptCount val="100"/>
                <c:pt idx="0">
                  <c:v>2.9336068125000781E-3</c:v>
                </c:pt>
                <c:pt idx="1">
                  <c:v>4.0066007717034502E-3</c:v>
                </c:pt>
                <c:pt idx="2">
                  <c:v>5.1532673126711837E-3</c:v>
                </c:pt>
                <c:pt idx="3">
                  <c:v>6.5184235058890925E-3</c:v>
                </c:pt>
                <c:pt idx="4">
                  <c:v>7.5737692169114195E-3</c:v>
                </c:pt>
                <c:pt idx="5">
                  <c:v>8.6129526457685342E-3</c:v>
                </c:pt>
                <c:pt idx="6">
                  <c:v>9.6672278164998456E-3</c:v>
                </c:pt>
                <c:pt idx="7">
                  <c:v>1.0422358036280355E-2</c:v>
                </c:pt>
                <c:pt idx="8">
                  <c:v>1.0955989758030161E-2</c:v>
                </c:pt>
                <c:pt idx="9">
                  <c:v>1.1302214573583802E-2</c:v>
                </c:pt>
                <c:pt idx="10">
                  <c:v>1.1650410991660688E-2</c:v>
                </c:pt>
                <c:pt idx="11">
                  <c:v>1.201022940813643E-2</c:v>
                </c:pt>
                <c:pt idx="12">
                  <c:v>1.2382862829245434E-2</c:v>
                </c:pt>
                <c:pt idx="13">
                  <c:v>1.2769697479015263E-2</c:v>
                </c:pt>
                <c:pt idx="14">
                  <c:v>1.3172334245122541E-2</c:v>
                </c:pt>
                <c:pt idx="15">
                  <c:v>1.3277541899806278E-2</c:v>
                </c:pt>
                <c:pt idx="16">
                  <c:v>1.3390435938026869E-2</c:v>
                </c:pt>
                <c:pt idx="17">
                  <c:v>1.351104198302564E-2</c:v>
                </c:pt>
                <c:pt idx="18">
                  <c:v>1.3639515721994733E-2</c:v>
                </c:pt>
                <c:pt idx="19">
                  <c:v>1.3776128474978378E-2</c:v>
                </c:pt>
                <c:pt idx="20">
                  <c:v>1.3764483159076791E-2</c:v>
                </c:pt>
                <c:pt idx="21">
                  <c:v>1.3757314798202303E-2</c:v>
                </c:pt>
                <c:pt idx="22">
                  <c:v>1.3754241294607871E-2</c:v>
                </c:pt>
                <c:pt idx="23">
                  <c:v>1.3754956113134643E-2</c:v>
                </c:pt>
                <c:pt idx="24">
                  <c:v>1.3759214058034907E-2</c:v>
                </c:pt>
                <c:pt idx="25">
                  <c:v>1.3754862181083904E-2</c:v>
                </c:pt>
                <c:pt idx="26">
                  <c:v>1.3753041770444075E-2</c:v>
                </c:pt>
                <c:pt idx="27">
                  <c:v>1.3753492177261517E-2</c:v>
                </c:pt>
                <c:pt idx="28">
                  <c:v>1.3755988603115955E-2</c:v>
                </c:pt>
                <c:pt idx="29">
                  <c:v>1.376033611246248E-2</c:v>
                </c:pt>
              </c:numCache>
            </c:numRef>
          </c:val>
          <c:smooth val="0"/>
          <c:extLst>
            <c:ext xmlns:c16="http://schemas.microsoft.com/office/drawing/2014/chart" uri="{C3380CC4-5D6E-409C-BE32-E72D297353CC}">
              <c16:uniqueId val="{00000001-6234-4420-BA03-9639A3F23222}"/>
            </c:ext>
          </c:extLst>
        </c:ser>
        <c:ser>
          <c:idx val="2"/>
          <c:order val="2"/>
          <c:tx>
            <c:strRef>
              <c:f>'Courbe de référence liquide'!$Q$3</c:f>
              <c:strCache>
                <c:ptCount val="1"/>
                <c:pt idx="0">
                  <c:v>Prime de liquidité additionnelle</c:v>
                </c:pt>
              </c:strCache>
            </c:strRef>
          </c:tx>
          <c:spPr>
            <a:ln w="28575" cap="rnd">
              <a:solidFill>
                <a:schemeClr val="accent3"/>
              </a:solidFill>
              <a:round/>
            </a:ln>
            <a:effectLst/>
          </c:spPr>
          <c:marker>
            <c:symbol val="none"/>
          </c:marker>
          <c:cat>
            <c:numRef>
              <c:f>'Courbe de référence liquide'!$N$4:$N$103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'Courbe de référence liquide'!$Q$4:$Q$103</c:f>
              <c:numCache>
                <c:formatCode>0.00%</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2-6234-4420-BA03-9639A3F23222}"/>
            </c:ext>
          </c:extLst>
        </c:ser>
        <c:ser>
          <c:idx val="3"/>
          <c:order val="3"/>
          <c:tx>
            <c:strRef>
              <c:f>'Courbe de référence liquide'!$R$3</c:f>
              <c:strCache>
                <c:ptCount val="1"/>
                <c:pt idx="0">
                  <c:v>Prime de liquidité</c:v>
                </c:pt>
              </c:strCache>
            </c:strRef>
          </c:tx>
          <c:spPr>
            <a:ln w="28575" cap="rnd">
              <a:solidFill>
                <a:srgbClr val="00B050"/>
              </a:solidFill>
              <a:round/>
            </a:ln>
            <a:effectLst/>
          </c:spPr>
          <c:marker>
            <c:symbol val="none"/>
          </c:marker>
          <c:cat>
            <c:numRef>
              <c:f>'Courbe de référence liquide'!$N$4:$N$103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'Courbe de référence liquide'!$R$4:$R$103</c:f>
              <c:numCache>
                <c:formatCode>0.00%</c:formatCode>
                <c:ptCount val="100"/>
                <c:pt idx="0">
                  <c:v>2.9336068125000781E-3</c:v>
                </c:pt>
                <c:pt idx="1">
                  <c:v>4.0066007717034502E-3</c:v>
                </c:pt>
                <c:pt idx="2">
                  <c:v>5.1532673126711837E-3</c:v>
                </c:pt>
                <c:pt idx="3">
                  <c:v>6.5184235058890925E-3</c:v>
                </c:pt>
                <c:pt idx="4">
                  <c:v>7.5737692169114195E-3</c:v>
                </c:pt>
                <c:pt idx="5">
                  <c:v>8.6129526457685342E-3</c:v>
                </c:pt>
                <c:pt idx="6">
                  <c:v>9.6672278164998456E-3</c:v>
                </c:pt>
                <c:pt idx="7">
                  <c:v>1.0422358036280355E-2</c:v>
                </c:pt>
                <c:pt idx="8">
                  <c:v>1.0955989758030161E-2</c:v>
                </c:pt>
                <c:pt idx="9">
                  <c:v>1.1302214573583802E-2</c:v>
                </c:pt>
                <c:pt idx="10">
                  <c:v>1.1650410991660688E-2</c:v>
                </c:pt>
                <c:pt idx="11">
                  <c:v>1.201022940813643E-2</c:v>
                </c:pt>
                <c:pt idx="12">
                  <c:v>1.2382862829245434E-2</c:v>
                </c:pt>
                <c:pt idx="13">
                  <c:v>1.2769697479015263E-2</c:v>
                </c:pt>
                <c:pt idx="14">
                  <c:v>1.3172334245122541E-2</c:v>
                </c:pt>
                <c:pt idx="15">
                  <c:v>1.3277541899806278E-2</c:v>
                </c:pt>
                <c:pt idx="16">
                  <c:v>1.3390435938026869E-2</c:v>
                </c:pt>
                <c:pt idx="17">
                  <c:v>1.351104198302564E-2</c:v>
                </c:pt>
                <c:pt idx="18">
                  <c:v>1.3639515721994733E-2</c:v>
                </c:pt>
                <c:pt idx="19">
                  <c:v>1.3776128474978378E-2</c:v>
                </c:pt>
                <c:pt idx="20">
                  <c:v>1.3764483159076791E-2</c:v>
                </c:pt>
                <c:pt idx="21">
                  <c:v>1.3757314798202303E-2</c:v>
                </c:pt>
                <c:pt idx="22">
                  <c:v>1.3754241294607871E-2</c:v>
                </c:pt>
                <c:pt idx="23">
                  <c:v>1.3754956113134643E-2</c:v>
                </c:pt>
                <c:pt idx="24">
                  <c:v>1.3759214058034907E-2</c:v>
                </c:pt>
                <c:pt idx="25">
                  <c:v>1.3754862181083904E-2</c:v>
                </c:pt>
                <c:pt idx="26">
                  <c:v>1.3753041770444075E-2</c:v>
                </c:pt>
                <c:pt idx="27">
                  <c:v>1.3753492177261517E-2</c:v>
                </c:pt>
                <c:pt idx="28">
                  <c:v>1.3755988603115955E-2</c:v>
                </c:pt>
                <c:pt idx="29">
                  <c:v>1.376033611246248E-2</c:v>
                </c:pt>
                <c:pt idx="30">
                  <c:v>1.3591327709650918E-2</c:v>
                </c:pt>
                <c:pt idx="31">
                  <c:v>1.3422319306839356E-2</c:v>
                </c:pt>
                <c:pt idx="32">
                  <c:v>1.3253310904027794E-2</c:v>
                </c:pt>
                <c:pt idx="33">
                  <c:v>1.3084302501216232E-2</c:v>
                </c:pt>
                <c:pt idx="34">
                  <c:v>1.2915294098404671E-2</c:v>
                </c:pt>
                <c:pt idx="35">
                  <c:v>1.2746285695593109E-2</c:v>
                </c:pt>
                <c:pt idx="36">
                  <c:v>1.2577277292781547E-2</c:v>
                </c:pt>
                <c:pt idx="37">
                  <c:v>1.2408268889969985E-2</c:v>
                </c:pt>
                <c:pt idx="38">
                  <c:v>1.2239260487158423E-2</c:v>
                </c:pt>
                <c:pt idx="39">
                  <c:v>1.2070252084346861E-2</c:v>
                </c:pt>
                <c:pt idx="40">
                  <c:v>1.1901243681535299E-2</c:v>
                </c:pt>
                <c:pt idx="41">
                  <c:v>1.1732235278723737E-2</c:v>
                </c:pt>
                <c:pt idx="42">
                  <c:v>1.1563226875912175E-2</c:v>
                </c:pt>
                <c:pt idx="43">
                  <c:v>1.1394218473100614E-2</c:v>
                </c:pt>
                <c:pt idx="44">
                  <c:v>1.1225210070289052E-2</c:v>
                </c:pt>
                <c:pt idx="45">
                  <c:v>1.105620166747749E-2</c:v>
                </c:pt>
                <c:pt idx="46">
                  <c:v>1.0887193264665928E-2</c:v>
                </c:pt>
                <c:pt idx="47">
                  <c:v>1.0718184861854366E-2</c:v>
                </c:pt>
                <c:pt idx="48">
                  <c:v>1.0549176459042804E-2</c:v>
                </c:pt>
                <c:pt idx="49">
                  <c:v>1.0380168056231242E-2</c:v>
                </c:pt>
                <c:pt idx="50">
                  <c:v>1.021115965341968E-2</c:v>
                </c:pt>
                <c:pt idx="51">
                  <c:v>1.0042151250608118E-2</c:v>
                </c:pt>
                <c:pt idx="52">
                  <c:v>9.8731428477965566E-3</c:v>
                </c:pt>
                <c:pt idx="53">
                  <c:v>9.7041344449849947E-3</c:v>
                </c:pt>
                <c:pt idx="54">
                  <c:v>9.5351260421734328E-3</c:v>
                </c:pt>
                <c:pt idx="55">
                  <c:v>9.3661176393618709E-3</c:v>
                </c:pt>
                <c:pt idx="56">
                  <c:v>9.197109236550309E-3</c:v>
                </c:pt>
                <c:pt idx="57">
                  <c:v>9.0281008337387472E-3</c:v>
                </c:pt>
                <c:pt idx="58">
                  <c:v>8.8590924309271853E-3</c:v>
                </c:pt>
                <c:pt idx="59">
                  <c:v>8.6900840281156234E-3</c:v>
                </c:pt>
                <c:pt idx="60">
                  <c:v>8.5210756253040615E-3</c:v>
                </c:pt>
                <c:pt idx="61">
                  <c:v>8.3520672224924996E-3</c:v>
                </c:pt>
                <c:pt idx="62">
                  <c:v>8.1830588196809377E-3</c:v>
                </c:pt>
                <c:pt idx="63">
                  <c:v>8.0140504168693758E-3</c:v>
                </c:pt>
                <c:pt idx="64">
                  <c:v>7.8450420140578139E-3</c:v>
                </c:pt>
                <c:pt idx="65">
                  <c:v>7.676033611246252E-3</c:v>
                </c:pt>
                <c:pt idx="66">
                  <c:v>7.5070252084346901E-3</c:v>
                </c:pt>
                <c:pt idx="67">
                  <c:v>7.3380168056231283E-3</c:v>
                </c:pt>
                <c:pt idx="68">
                  <c:v>7.1690084028115664E-3</c:v>
                </c:pt>
                <c:pt idx="69">
                  <c:v>7.0000000000000001E-3</c:v>
                </c:pt>
                <c:pt idx="70">
                  <c:v>7.0000000000000001E-3</c:v>
                </c:pt>
                <c:pt idx="71">
                  <c:v>7.0000000000000001E-3</c:v>
                </c:pt>
                <c:pt idx="72">
                  <c:v>7.0000000000000001E-3</c:v>
                </c:pt>
                <c:pt idx="73">
                  <c:v>7.0000000000000001E-3</c:v>
                </c:pt>
                <c:pt idx="74">
                  <c:v>7.0000000000000001E-3</c:v>
                </c:pt>
                <c:pt idx="75">
                  <c:v>7.0000000000000001E-3</c:v>
                </c:pt>
                <c:pt idx="76">
                  <c:v>7.0000000000000001E-3</c:v>
                </c:pt>
                <c:pt idx="77">
                  <c:v>7.0000000000000001E-3</c:v>
                </c:pt>
                <c:pt idx="78">
                  <c:v>7.0000000000000001E-3</c:v>
                </c:pt>
                <c:pt idx="79">
                  <c:v>7.0000000000000001E-3</c:v>
                </c:pt>
                <c:pt idx="80">
                  <c:v>7.0000000000000001E-3</c:v>
                </c:pt>
                <c:pt idx="81">
                  <c:v>7.0000000000000001E-3</c:v>
                </c:pt>
                <c:pt idx="82">
                  <c:v>7.0000000000000001E-3</c:v>
                </c:pt>
                <c:pt idx="83">
                  <c:v>7.0000000000000001E-3</c:v>
                </c:pt>
                <c:pt idx="84">
                  <c:v>7.0000000000000001E-3</c:v>
                </c:pt>
                <c:pt idx="85">
                  <c:v>7.0000000000000001E-3</c:v>
                </c:pt>
                <c:pt idx="86">
                  <c:v>7.0000000000000001E-3</c:v>
                </c:pt>
                <c:pt idx="87">
                  <c:v>7.0000000000000001E-3</c:v>
                </c:pt>
                <c:pt idx="88">
                  <c:v>7.0000000000000001E-3</c:v>
                </c:pt>
                <c:pt idx="89">
                  <c:v>7.0000000000000001E-3</c:v>
                </c:pt>
                <c:pt idx="90">
                  <c:v>7.0000000000000001E-3</c:v>
                </c:pt>
                <c:pt idx="91">
                  <c:v>7.0000000000000001E-3</c:v>
                </c:pt>
                <c:pt idx="92">
                  <c:v>7.0000000000000001E-3</c:v>
                </c:pt>
                <c:pt idx="93">
                  <c:v>7.0000000000000001E-3</c:v>
                </c:pt>
                <c:pt idx="94">
                  <c:v>7.0000000000000001E-3</c:v>
                </c:pt>
                <c:pt idx="95">
                  <c:v>7.0000000000000001E-3</c:v>
                </c:pt>
                <c:pt idx="96">
                  <c:v>7.0000000000000001E-3</c:v>
                </c:pt>
                <c:pt idx="97">
                  <c:v>7.0000000000000001E-3</c:v>
                </c:pt>
                <c:pt idx="98">
                  <c:v>7.0000000000000001E-3</c:v>
                </c:pt>
                <c:pt idx="99">
                  <c:v>7.0000000000000001E-3</c:v>
                </c:pt>
              </c:numCache>
            </c:numRef>
          </c:val>
          <c:smooth val="0"/>
          <c:extLst>
            <c:ext xmlns:c16="http://schemas.microsoft.com/office/drawing/2014/chart" uri="{C3380CC4-5D6E-409C-BE32-E72D297353CC}">
              <c16:uniqueId val="{00000003-6234-4420-BA03-9639A3F23222}"/>
            </c:ext>
          </c:extLst>
        </c:ser>
        <c:ser>
          <c:idx val="4"/>
          <c:order val="4"/>
          <c:tx>
            <c:strRef>
              <c:f>'Courbe de référence liquide'!$S$3</c:f>
              <c:strCache>
                <c:ptCount val="1"/>
                <c:pt idx="0">
                  <c:v>Courbe de référence liquide au comptant</c:v>
                </c:pt>
              </c:strCache>
            </c:strRef>
          </c:tx>
          <c:spPr>
            <a:ln w="28575" cap="rnd">
              <a:solidFill>
                <a:srgbClr val="0070C0"/>
              </a:solidFill>
              <a:round/>
            </a:ln>
            <a:effectLst/>
          </c:spPr>
          <c:marker>
            <c:symbol val="none"/>
          </c:marker>
          <c:cat>
            <c:numRef>
              <c:f>'Courbe de référence liquide'!$N$4:$N$103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'Courbe de référence liquide'!$S$4:$S$103</c:f>
              <c:numCache>
                <c:formatCode>0.00%</c:formatCode>
                <c:ptCount val="100"/>
                <c:pt idx="0">
                  <c:v>7.1981437124999156E-3</c:v>
                </c:pt>
                <c:pt idx="1">
                  <c:v>8.5725715648976575E-3</c:v>
                </c:pt>
                <c:pt idx="2">
                  <c:v>1.0293491923692666E-2</c:v>
                </c:pt>
                <c:pt idx="3">
                  <c:v>1.2366344678115749E-2</c:v>
                </c:pt>
                <c:pt idx="4">
                  <c:v>1.3735045627278765E-2</c:v>
                </c:pt>
                <c:pt idx="5">
                  <c:v>1.5042867352668554E-2</c:v>
                </c:pt>
                <c:pt idx="6">
                  <c:v>1.636688495964065E-2</c:v>
                </c:pt>
                <c:pt idx="7">
                  <c:v>1.7191803037967433E-2</c:v>
                </c:pt>
                <c:pt idx="8">
                  <c:v>1.8220571059917832E-2</c:v>
                </c:pt>
                <c:pt idx="9">
                  <c:v>1.9116951996043553E-2</c:v>
                </c:pt>
                <c:pt idx="10">
                  <c:v>2.0149966607689685E-2</c:v>
                </c:pt>
                <c:pt idx="11">
                  <c:v>2.1200337172159057E-2</c:v>
                </c:pt>
                <c:pt idx="12">
                  <c:v>2.2269899299813978E-2</c:v>
                </c:pt>
                <c:pt idx="13">
                  <c:v>2.3360715668874231E-2</c:v>
                </c:pt>
                <c:pt idx="14">
                  <c:v>2.4475104814662196E-2</c:v>
                </c:pt>
                <c:pt idx="15">
                  <c:v>2.4995703019560157E-2</c:v>
                </c:pt>
                <c:pt idx="16">
                  <c:v>2.5528127422674476E-2</c:v>
                </c:pt>
                <c:pt idx="17">
                  <c:v>2.6072633732584595E-2</c:v>
                </c:pt>
                <c:pt idx="18">
                  <c:v>2.6629634304818572E-2</c:v>
                </c:pt>
                <c:pt idx="19">
                  <c:v>2.7199682984817054E-2</c:v>
                </c:pt>
                <c:pt idx="20">
                  <c:v>2.7295851805868288E-2</c:v>
                </c:pt>
                <c:pt idx="21">
                  <c:v>2.7398533337379294E-2</c:v>
                </c:pt>
                <c:pt idx="22">
                  <c:v>2.7507217980504685E-2</c:v>
                </c:pt>
                <c:pt idx="23">
                  <c:v>2.7621498864285932E-2</c:v>
                </c:pt>
                <c:pt idx="24">
                  <c:v>2.7741052465029205E-2</c:v>
                </c:pt>
                <c:pt idx="25">
                  <c:v>2.7681856561162066E-2</c:v>
                </c:pt>
                <c:pt idx="26">
                  <c:v>2.7626569243279955E-2</c:v>
                </c:pt>
                <c:pt idx="27">
                  <c:v>2.7574766050905586E-2</c:v>
                </c:pt>
                <c:pt idx="28">
                  <c:v>2.7526081009253203E-2</c:v>
                </c:pt>
                <c:pt idx="29">
                  <c:v>2.7480196873942611E-2</c:v>
                </c:pt>
                <c:pt idx="30">
                  <c:v>2.7968191952094046E-2</c:v>
                </c:pt>
                <c:pt idx="31">
                  <c:v>2.8456187030245481E-2</c:v>
                </c:pt>
                <c:pt idx="32">
                  <c:v>2.8944182108396915E-2</c:v>
                </c:pt>
                <c:pt idx="33">
                  <c:v>2.943217718654835E-2</c:v>
                </c:pt>
                <c:pt idx="34">
                  <c:v>2.9920172264699788E-2</c:v>
                </c:pt>
                <c:pt idx="35">
                  <c:v>3.0408167342851226E-2</c:v>
                </c:pt>
                <c:pt idx="36">
                  <c:v>3.0896162421002661E-2</c:v>
                </c:pt>
                <c:pt idx="37">
                  <c:v>3.1384157499154096E-2</c:v>
                </c:pt>
                <c:pt idx="38">
                  <c:v>3.1872152577305538E-2</c:v>
                </c:pt>
                <c:pt idx="39">
                  <c:v>3.2360147655456972E-2</c:v>
                </c:pt>
                <c:pt idx="40">
                  <c:v>3.2848142733608407E-2</c:v>
                </c:pt>
                <c:pt idx="41">
                  <c:v>3.3336137811759842E-2</c:v>
                </c:pt>
                <c:pt idx="42">
                  <c:v>3.3824132889911276E-2</c:v>
                </c:pt>
                <c:pt idx="43">
                  <c:v>3.4312127968062718E-2</c:v>
                </c:pt>
                <c:pt idx="44">
                  <c:v>3.4800123046214153E-2</c:v>
                </c:pt>
                <c:pt idx="45">
                  <c:v>3.5288118124365588E-2</c:v>
                </c:pt>
                <c:pt idx="46">
                  <c:v>3.5776113202517029E-2</c:v>
                </c:pt>
                <c:pt idx="47">
                  <c:v>3.6264108280668464E-2</c:v>
                </c:pt>
                <c:pt idx="48">
                  <c:v>3.6752103358819899E-2</c:v>
                </c:pt>
                <c:pt idx="49">
                  <c:v>3.7240098436971333E-2</c:v>
                </c:pt>
                <c:pt idx="50">
                  <c:v>3.7728093515122768E-2</c:v>
                </c:pt>
                <c:pt idx="51">
                  <c:v>3.821608859327421E-2</c:v>
                </c:pt>
                <c:pt idx="52">
                  <c:v>3.8704083671425644E-2</c:v>
                </c:pt>
                <c:pt idx="53">
                  <c:v>3.9192078749577079E-2</c:v>
                </c:pt>
                <c:pt idx="54">
                  <c:v>3.9680073827728521E-2</c:v>
                </c:pt>
                <c:pt idx="55">
                  <c:v>4.0168068905879956E-2</c:v>
                </c:pt>
                <c:pt idx="56">
                  <c:v>4.065606398403139E-2</c:v>
                </c:pt>
                <c:pt idx="57">
                  <c:v>4.1144059062182825E-2</c:v>
                </c:pt>
                <c:pt idx="58">
                  <c:v>4.163205414033426E-2</c:v>
                </c:pt>
                <c:pt idx="59">
                  <c:v>4.2120049218485688E-2</c:v>
                </c:pt>
                <c:pt idx="60">
                  <c:v>4.2608044296637122E-2</c:v>
                </c:pt>
                <c:pt idx="61">
                  <c:v>4.3096039374788557E-2</c:v>
                </c:pt>
                <c:pt idx="62">
                  <c:v>4.3584034452939985E-2</c:v>
                </c:pt>
                <c:pt idx="63">
                  <c:v>4.407202953109142E-2</c:v>
                </c:pt>
                <c:pt idx="64">
                  <c:v>4.4560024609242854E-2</c:v>
                </c:pt>
                <c:pt idx="65">
                  <c:v>4.5048019687394289E-2</c:v>
                </c:pt>
                <c:pt idx="66">
                  <c:v>4.5536014765545724E-2</c:v>
                </c:pt>
                <c:pt idx="67">
                  <c:v>4.6024009843697151E-2</c:v>
                </c:pt>
                <c:pt idx="68">
                  <c:v>4.6512004921848586E-2</c:v>
                </c:pt>
                <c:pt idx="69">
                  <c:v>4.7E-2</c:v>
                </c:pt>
                <c:pt idx="70">
                  <c:v>4.7E-2</c:v>
                </c:pt>
                <c:pt idx="71">
                  <c:v>4.7E-2</c:v>
                </c:pt>
                <c:pt idx="72">
                  <c:v>4.7E-2</c:v>
                </c:pt>
                <c:pt idx="73">
                  <c:v>4.7E-2</c:v>
                </c:pt>
                <c:pt idx="74">
                  <c:v>4.7E-2</c:v>
                </c:pt>
                <c:pt idx="75">
                  <c:v>4.7E-2</c:v>
                </c:pt>
                <c:pt idx="76">
                  <c:v>4.7E-2</c:v>
                </c:pt>
                <c:pt idx="77">
                  <c:v>4.7E-2</c:v>
                </c:pt>
                <c:pt idx="78">
                  <c:v>4.7E-2</c:v>
                </c:pt>
                <c:pt idx="79">
                  <c:v>4.7E-2</c:v>
                </c:pt>
                <c:pt idx="80">
                  <c:v>4.7E-2</c:v>
                </c:pt>
                <c:pt idx="81">
                  <c:v>4.7E-2</c:v>
                </c:pt>
                <c:pt idx="82">
                  <c:v>4.7E-2</c:v>
                </c:pt>
                <c:pt idx="83">
                  <c:v>4.7E-2</c:v>
                </c:pt>
                <c:pt idx="84">
                  <c:v>4.7E-2</c:v>
                </c:pt>
                <c:pt idx="85">
                  <c:v>4.7E-2</c:v>
                </c:pt>
                <c:pt idx="86">
                  <c:v>4.7E-2</c:v>
                </c:pt>
                <c:pt idx="87">
                  <c:v>4.7E-2</c:v>
                </c:pt>
                <c:pt idx="88">
                  <c:v>4.7E-2</c:v>
                </c:pt>
                <c:pt idx="89">
                  <c:v>4.7E-2</c:v>
                </c:pt>
                <c:pt idx="90">
                  <c:v>4.7E-2</c:v>
                </c:pt>
                <c:pt idx="91">
                  <c:v>4.7E-2</c:v>
                </c:pt>
                <c:pt idx="92">
                  <c:v>4.7E-2</c:v>
                </c:pt>
                <c:pt idx="93">
                  <c:v>4.7E-2</c:v>
                </c:pt>
                <c:pt idx="94">
                  <c:v>4.7E-2</c:v>
                </c:pt>
                <c:pt idx="95">
                  <c:v>4.7E-2</c:v>
                </c:pt>
                <c:pt idx="96">
                  <c:v>4.7E-2</c:v>
                </c:pt>
                <c:pt idx="97">
                  <c:v>4.7E-2</c:v>
                </c:pt>
                <c:pt idx="98">
                  <c:v>4.7E-2</c:v>
                </c:pt>
                <c:pt idx="99">
                  <c:v>4.7E-2</c:v>
                </c:pt>
              </c:numCache>
            </c:numRef>
          </c:val>
          <c:smooth val="0"/>
          <c:extLst>
            <c:ext xmlns:c16="http://schemas.microsoft.com/office/drawing/2014/chart" uri="{C3380CC4-5D6E-409C-BE32-E72D297353CC}">
              <c16:uniqueId val="{00000004-6234-4420-BA03-9639A3F23222}"/>
            </c:ext>
          </c:extLst>
        </c:ser>
        <c:ser>
          <c:idx val="5"/>
          <c:order val="5"/>
          <c:tx>
            <c:strRef>
              <c:f>'Courbe de référence liquide'!$T$3</c:f>
              <c:strCache>
                <c:ptCount val="1"/>
                <c:pt idx="0">
                  <c:v>Courbe de référence liquide à terme</c:v>
                </c:pt>
              </c:strCache>
            </c:strRef>
          </c:tx>
          <c:spPr>
            <a:ln w="28575" cap="rnd">
              <a:solidFill>
                <a:schemeClr val="accent4">
                  <a:lumMod val="40000"/>
                  <a:lumOff val="60000"/>
                </a:schemeClr>
              </a:solidFill>
              <a:round/>
            </a:ln>
            <a:effectLst/>
          </c:spPr>
          <c:marker>
            <c:symbol val="none"/>
          </c:marker>
          <c:cat>
            <c:numRef>
              <c:f>'Courbe de référence liquide'!$N$4:$N$103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'Courbe de référence liquide'!$T$4:$T$103</c:f>
              <c:numCache>
                <c:formatCode>0.00%</c:formatCode>
                <c:ptCount val="100"/>
                <c:pt idx="0">
                  <c:v>7.1981437124999156E-3</c:v>
                </c:pt>
                <c:pt idx="1">
                  <c:v>9.9488749687279832E-3</c:v>
                </c:pt>
                <c:pt idx="2">
                  <c:v>1.37441468349222E-2</c:v>
                </c:pt>
                <c:pt idx="3">
                  <c:v>1.8610455508459411E-2</c:v>
                </c:pt>
                <c:pt idx="4">
                  <c:v>1.9228379047475208E-2</c:v>
                </c:pt>
                <c:pt idx="5">
                  <c:v>2.1607327909166196E-2</c:v>
                </c:pt>
                <c:pt idx="6">
                  <c:v>2.434733745241946E-2</c:v>
                </c:pt>
                <c:pt idx="7">
                  <c:v>2.2985006935637431E-2</c:v>
                </c:pt>
                <c:pt idx="8">
                  <c:v>2.6488260899854454E-2</c:v>
                </c:pt>
                <c:pt idx="9">
                  <c:v>2.7219974338121622E-2</c:v>
                </c:pt>
                <c:pt idx="10">
                  <c:v>3.0537878806190744E-2</c:v>
                </c:pt>
                <c:pt idx="11">
                  <c:v>3.2826037027971822E-2</c:v>
                </c:pt>
                <c:pt idx="12">
                  <c:v>3.5192357975362576E-2</c:v>
                </c:pt>
                <c:pt idx="13">
                  <c:v>3.7647702164407271E-2</c:v>
                </c:pt>
                <c:pt idx="14">
                  <c:v>4.0204575120587505E-2</c:v>
                </c:pt>
                <c:pt idx="15">
                  <c:v>3.2836497218981853E-2</c:v>
                </c:pt>
                <c:pt idx="16">
                  <c:v>3.4084628286984886E-2</c:v>
                </c:pt>
                <c:pt idx="17">
                  <c:v>3.5373599843701697E-2</c:v>
                </c:pt>
                <c:pt idx="18">
                  <c:v>3.6707508613838424E-2</c:v>
                </c:pt>
                <c:pt idx="19">
                  <c:v>3.8090948776744904E-2</c:v>
                </c:pt>
                <c:pt idx="20">
                  <c:v>2.9221120093645636E-2</c:v>
                </c:pt>
                <c:pt idx="21">
                  <c:v>2.955721791353616E-2</c:v>
                </c:pt>
                <c:pt idx="22">
                  <c:v>2.9901191111761927E-2</c:v>
                </c:pt>
                <c:pt idx="23">
                  <c:v>3.0253470149502748E-2</c:v>
                </c:pt>
                <c:pt idx="24">
                  <c:v>3.0614515270824594E-2</c:v>
                </c:pt>
                <c:pt idx="25">
                  <c:v>2.6203066564296718E-2</c:v>
                </c:pt>
                <c:pt idx="26">
                  <c:v>2.6190142507982905E-2</c:v>
                </c:pt>
                <c:pt idx="27">
                  <c:v>2.6177066544696315E-2</c:v>
                </c:pt>
                <c:pt idx="28">
                  <c:v>2.616383593497229E-2</c:v>
                </c:pt>
                <c:pt idx="29">
                  <c:v>2.6150447873645177E-2</c:v>
                </c:pt>
                <c:pt idx="30">
                  <c:v>4.2716313845468923E-2</c:v>
                </c:pt>
                <c:pt idx="31">
                  <c:v>4.3699485203483546E-2</c:v>
                </c:pt>
                <c:pt idx="32">
                  <c:v>4.4682884678349355E-2</c:v>
                </c:pt>
                <c:pt idx="33">
                  <c:v>4.5666512052070507E-2</c:v>
                </c:pt>
                <c:pt idx="34">
                  <c:v>4.6650367106876534E-2</c:v>
                </c:pt>
                <c:pt idx="35">
                  <c:v>4.7634449625270747E-2</c:v>
                </c:pt>
                <c:pt idx="36">
                  <c:v>4.8618759390028687E-2</c:v>
                </c:pt>
                <c:pt idx="37">
                  <c:v>4.9603296184149936E-2</c:v>
                </c:pt>
                <c:pt idx="38">
                  <c:v>5.0588059790957596E-2</c:v>
                </c:pt>
                <c:pt idx="39">
                  <c:v>5.1573049993939746E-2</c:v>
                </c:pt>
                <c:pt idx="40">
                  <c:v>5.2558266576959278E-2</c:v>
                </c:pt>
                <c:pt idx="41">
                  <c:v>5.3543709324020528E-2</c:v>
                </c:pt>
                <c:pt idx="42">
                  <c:v>5.4529378019485542E-2</c:v>
                </c:pt>
                <c:pt idx="43">
                  <c:v>5.5515272447907105E-2</c:v>
                </c:pt>
                <c:pt idx="44">
                  <c:v>5.6501392394121774E-2</c:v>
                </c:pt>
                <c:pt idx="45">
                  <c:v>5.7487737643251435E-2</c:v>
                </c:pt>
                <c:pt idx="46">
                  <c:v>5.8474307980589169E-2</c:v>
                </c:pt>
                <c:pt idx="47">
                  <c:v>5.946110319179998E-2</c:v>
                </c:pt>
                <c:pt idx="48">
                  <c:v>6.0448123062699421E-2</c:v>
                </c:pt>
                <c:pt idx="49">
                  <c:v>6.1435367379441885E-2</c:v>
                </c:pt>
                <c:pt idx="50">
                  <c:v>6.2422835928358955E-2</c:v>
                </c:pt>
                <c:pt idx="51">
                  <c:v>6.3410528496135932E-2</c:v>
                </c:pt>
                <c:pt idx="52">
                  <c:v>6.4398444869591565E-2</c:v>
                </c:pt>
                <c:pt idx="53">
                  <c:v>6.5386584835920525E-2</c:v>
                </c:pt>
                <c:pt idx="54">
                  <c:v>6.6374948182494897E-2</c:v>
                </c:pt>
                <c:pt idx="55">
                  <c:v>6.7363534696937677E-2</c:v>
                </c:pt>
                <c:pt idx="56">
                  <c:v>6.8352344167194712E-2</c:v>
                </c:pt>
                <c:pt idx="57">
                  <c:v>6.9341376381364173E-2</c:v>
                </c:pt>
                <c:pt idx="58">
                  <c:v>7.0330631127915266E-2</c:v>
                </c:pt>
                <c:pt idx="59">
                  <c:v>7.1320108195439103E-2</c:v>
                </c:pt>
                <c:pt idx="60">
                  <c:v>7.2309807372913149E-2</c:v>
                </c:pt>
                <c:pt idx="61">
                  <c:v>7.3299728449433887E-2</c:v>
                </c:pt>
                <c:pt idx="62">
                  <c:v>7.4289871214469505E-2</c:v>
                </c:pt>
                <c:pt idx="63">
                  <c:v>7.5280235457669598E-2</c:v>
                </c:pt>
                <c:pt idx="64">
                  <c:v>7.6270820968914244E-2</c:v>
                </c:pt>
                <c:pt idx="65">
                  <c:v>7.7261627538438127E-2</c:v>
                </c:pt>
                <c:pt idx="66">
                  <c:v>7.8252654956588286E-2</c:v>
                </c:pt>
                <c:pt idx="67">
                  <c:v>7.9243903014084571E-2</c:v>
                </c:pt>
                <c:pt idx="68">
                  <c:v>8.0235371501785169E-2</c:v>
                </c:pt>
                <c:pt idx="69">
                  <c:v>8.122706021091286E-2</c:v>
                </c:pt>
                <c:pt idx="70">
                  <c:v>4.6999999999999931E-2</c:v>
                </c:pt>
                <c:pt idx="71">
                  <c:v>4.6999999999999931E-2</c:v>
                </c:pt>
                <c:pt idx="72">
                  <c:v>4.6999999999999931E-2</c:v>
                </c:pt>
                <c:pt idx="73">
                  <c:v>4.6999999999999709E-2</c:v>
                </c:pt>
                <c:pt idx="74">
                  <c:v>4.6999999999999709E-2</c:v>
                </c:pt>
                <c:pt idx="75">
                  <c:v>4.7000000000000153E-2</c:v>
                </c:pt>
                <c:pt idx="76">
                  <c:v>4.6999999999999931E-2</c:v>
                </c:pt>
                <c:pt idx="77">
                  <c:v>4.6999999999999709E-2</c:v>
                </c:pt>
                <c:pt idx="78">
                  <c:v>4.6999999999999931E-2</c:v>
                </c:pt>
                <c:pt idx="79">
                  <c:v>4.6999999999999931E-2</c:v>
                </c:pt>
                <c:pt idx="80">
                  <c:v>4.6999999999999709E-2</c:v>
                </c:pt>
                <c:pt idx="81">
                  <c:v>4.6999999999999931E-2</c:v>
                </c:pt>
                <c:pt idx="82">
                  <c:v>4.6999999999999931E-2</c:v>
                </c:pt>
                <c:pt idx="83">
                  <c:v>4.6999999999999931E-2</c:v>
                </c:pt>
                <c:pt idx="84">
                  <c:v>4.6999999999999931E-2</c:v>
                </c:pt>
                <c:pt idx="85">
                  <c:v>4.6999999999999709E-2</c:v>
                </c:pt>
                <c:pt idx="86">
                  <c:v>4.6999999999999931E-2</c:v>
                </c:pt>
                <c:pt idx="87">
                  <c:v>4.6999999999999931E-2</c:v>
                </c:pt>
                <c:pt idx="88">
                  <c:v>4.6999999999999931E-2</c:v>
                </c:pt>
                <c:pt idx="89">
                  <c:v>4.6999999999999709E-2</c:v>
                </c:pt>
                <c:pt idx="90">
                  <c:v>4.6999999999999709E-2</c:v>
                </c:pt>
                <c:pt idx="91">
                  <c:v>4.6999999999999931E-2</c:v>
                </c:pt>
                <c:pt idx="92">
                  <c:v>4.6999999999999931E-2</c:v>
                </c:pt>
                <c:pt idx="93">
                  <c:v>4.6999999999999709E-2</c:v>
                </c:pt>
                <c:pt idx="94">
                  <c:v>4.6999999999999931E-2</c:v>
                </c:pt>
                <c:pt idx="95">
                  <c:v>4.6999999999999709E-2</c:v>
                </c:pt>
                <c:pt idx="96">
                  <c:v>4.7000000000000153E-2</c:v>
                </c:pt>
                <c:pt idx="97">
                  <c:v>4.6999999999999709E-2</c:v>
                </c:pt>
                <c:pt idx="98">
                  <c:v>4.6999999999999709E-2</c:v>
                </c:pt>
                <c:pt idx="99">
                  <c:v>4.7000000000000153E-2</c:v>
                </c:pt>
              </c:numCache>
            </c:numRef>
          </c:val>
          <c:smooth val="0"/>
          <c:extLst>
            <c:ext xmlns:c16="http://schemas.microsoft.com/office/drawing/2014/chart" uri="{C3380CC4-5D6E-409C-BE32-E72D297353CC}">
              <c16:uniqueId val="{00000000-DF8B-4A3C-875B-813256F484C0}"/>
            </c:ext>
          </c:extLst>
        </c:ser>
        <c:dLbls>
          <c:showLegendKey val="0"/>
          <c:showVal val="0"/>
          <c:showCatName val="0"/>
          <c:showSerName val="0"/>
          <c:showPercent val="0"/>
          <c:showBubbleSize val="0"/>
        </c:dLbls>
        <c:smooth val="0"/>
        <c:axId val="154687944"/>
        <c:axId val="154684416"/>
      </c:lineChart>
      <c:catAx>
        <c:axId val="154687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684416"/>
        <c:crosses val="autoZero"/>
        <c:auto val="1"/>
        <c:lblAlgn val="ctr"/>
        <c:lblOffset val="100"/>
        <c:noMultiLvlLbl val="0"/>
      </c:catAx>
      <c:valAx>
        <c:axId val="1546844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687944"/>
        <c:crosses val="autoZero"/>
        <c:crossBetween val="between"/>
      </c:valAx>
      <c:spPr>
        <a:noFill/>
        <a:ln>
          <a:noFill/>
        </a:ln>
        <a:effectLst/>
      </c:spPr>
    </c:plotArea>
    <c:legend>
      <c:legendPos val="r"/>
      <c:layout>
        <c:manualLayout>
          <c:xMode val="edge"/>
          <c:yMode val="edge"/>
          <c:x val="9.003985333620565E-2"/>
          <c:y val="3.5498761764522511E-2"/>
          <c:w val="0.84780897326551163"/>
          <c:h val="0.15203462045977645"/>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365771274266771E-2"/>
          <c:y val="4.0424450362753737E-2"/>
          <c:w val="0.90860798820071342"/>
          <c:h val="0.86175538242007499"/>
        </c:manualLayout>
      </c:layout>
      <c:lineChart>
        <c:grouping val="standard"/>
        <c:varyColors val="0"/>
        <c:ser>
          <c:idx val="0"/>
          <c:order val="0"/>
          <c:tx>
            <c:strRef>
              <c:f>'Courbe d''actualisation IFRS 17'!$O$3</c:f>
              <c:strCache>
                <c:ptCount val="1"/>
                <c:pt idx="0">
                  <c:v>Courbe sans risque</c:v>
                </c:pt>
              </c:strCache>
            </c:strRef>
          </c:tx>
          <c:spPr>
            <a:ln w="28575" cap="rnd">
              <a:solidFill>
                <a:schemeClr val="accent1">
                  <a:lumMod val="20000"/>
                  <a:lumOff val="80000"/>
                </a:schemeClr>
              </a:solidFill>
              <a:round/>
            </a:ln>
            <a:effectLst/>
          </c:spPr>
          <c:marker>
            <c:symbol val="none"/>
          </c:marker>
          <c:cat>
            <c:numRef>
              <c:f>'Courbe d''actualisation IFRS 17'!$N$4:$N$103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'Courbe d''actualisation IFRS 17'!$O$4:$O$103</c:f>
              <c:numCache>
                <c:formatCode>0.00%</c:formatCode>
                <c:ptCount val="100"/>
                <c:pt idx="0">
                  <c:v>4.2645368999998379E-3</c:v>
                </c:pt>
                <c:pt idx="1">
                  <c:v>4.5659707931942073E-3</c:v>
                </c:pt>
                <c:pt idx="2">
                  <c:v>5.1402246110214822E-3</c:v>
                </c:pt>
                <c:pt idx="3">
                  <c:v>5.8479211722266555E-3</c:v>
                </c:pt>
                <c:pt idx="4">
                  <c:v>6.1612764103673445E-3</c:v>
                </c:pt>
                <c:pt idx="5">
                  <c:v>6.4299147069000195E-3</c:v>
                </c:pt>
                <c:pt idx="6">
                  <c:v>6.6996571431408025E-3</c:v>
                </c:pt>
                <c:pt idx="7">
                  <c:v>6.76944500168708E-3</c:v>
                </c:pt>
                <c:pt idx="8">
                  <c:v>7.2645813018876737E-3</c:v>
                </c:pt>
                <c:pt idx="9">
                  <c:v>7.8147374224597499E-3</c:v>
                </c:pt>
                <c:pt idx="10">
                  <c:v>8.4995556160289976E-3</c:v>
                </c:pt>
                <c:pt idx="11">
                  <c:v>9.1901077640226259E-3</c:v>
                </c:pt>
                <c:pt idx="12">
                  <c:v>9.8870364705685443E-3</c:v>
                </c:pt>
                <c:pt idx="13">
                  <c:v>1.0591018189858969E-2</c:v>
                </c:pt>
                <c:pt idx="14">
                  <c:v>1.1302770569539655E-2</c:v>
                </c:pt>
                <c:pt idx="15">
                  <c:v>1.1718161119753878E-2</c:v>
                </c:pt>
                <c:pt idx="16">
                  <c:v>1.2137691484647606E-2</c:v>
                </c:pt>
                <c:pt idx="17">
                  <c:v>1.2561591749558954E-2</c:v>
                </c:pt>
                <c:pt idx="18">
                  <c:v>1.299011858282384E-2</c:v>
                </c:pt>
                <c:pt idx="19">
                  <c:v>1.3423554509838675E-2</c:v>
                </c:pt>
                <c:pt idx="20">
                  <c:v>1.3531368646791497E-2</c:v>
                </c:pt>
                <c:pt idx="21">
                  <c:v>1.3641218539176991E-2</c:v>
                </c:pt>
                <c:pt idx="22">
                  <c:v>1.3752976685896812E-2</c:v>
                </c:pt>
                <c:pt idx="23">
                  <c:v>1.386654275115129E-2</c:v>
                </c:pt>
                <c:pt idx="24">
                  <c:v>1.3981838406994296E-2</c:v>
                </c:pt>
                <c:pt idx="25">
                  <c:v>1.3926994380078161E-2</c:v>
                </c:pt>
                <c:pt idx="26">
                  <c:v>1.3873527472835878E-2</c:v>
                </c:pt>
                <c:pt idx="27">
                  <c:v>1.3821273873644069E-2</c:v>
                </c:pt>
                <c:pt idx="28">
                  <c:v>1.3770092406137246E-2</c:v>
                </c:pt>
                <c:pt idx="29">
                  <c:v>1.3719860761480129E-2</c:v>
                </c:pt>
                <c:pt idx="30">
                  <c:v>1.4245463546250527E-2</c:v>
                </c:pt>
                <c:pt idx="31">
                  <c:v>1.4771066331020925E-2</c:v>
                </c:pt>
                <c:pt idx="32">
                  <c:v>1.5296669115791323E-2</c:v>
                </c:pt>
                <c:pt idx="33">
                  <c:v>1.5822271900561721E-2</c:v>
                </c:pt>
                <c:pt idx="34">
                  <c:v>1.6347874685332119E-2</c:v>
                </c:pt>
                <c:pt idx="35">
                  <c:v>1.6873477470102517E-2</c:v>
                </c:pt>
                <c:pt idx="36">
                  <c:v>1.7399080254872915E-2</c:v>
                </c:pt>
                <c:pt idx="37">
                  <c:v>1.7924683039643313E-2</c:v>
                </c:pt>
                <c:pt idx="38">
                  <c:v>1.8450285824413711E-2</c:v>
                </c:pt>
                <c:pt idx="39">
                  <c:v>1.8975888609184109E-2</c:v>
                </c:pt>
                <c:pt idx="40">
                  <c:v>1.9501491393954507E-2</c:v>
                </c:pt>
                <c:pt idx="41">
                  <c:v>2.0027094178724905E-2</c:v>
                </c:pt>
                <c:pt idx="42">
                  <c:v>2.0552696963495303E-2</c:v>
                </c:pt>
                <c:pt idx="43">
                  <c:v>2.1078299748265701E-2</c:v>
                </c:pt>
                <c:pt idx="44">
                  <c:v>2.1603902533036099E-2</c:v>
                </c:pt>
                <c:pt idx="45">
                  <c:v>2.2129505317806497E-2</c:v>
                </c:pt>
                <c:pt idx="46">
                  <c:v>2.2655108102576895E-2</c:v>
                </c:pt>
                <c:pt idx="47">
                  <c:v>2.3180710887347293E-2</c:v>
                </c:pt>
                <c:pt idx="48">
                  <c:v>2.3706313672117691E-2</c:v>
                </c:pt>
                <c:pt idx="49">
                  <c:v>2.4231916456888089E-2</c:v>
                </c:pt>
                <c:pt idx="50">
                  <c:v>2.4757519241658487E-2</c:v>
                </c:pt>
                <c:pt idx="51">
                  <c:v>2.5283122026428885E-2</c:v>
                </c:pt>
                <c:pt idx="52">
                  <c:v>2.5808724811199283E-2</c:v>
                </c:pt>
                <c:pt idx="53">
                  <c:v>2.6334327595969681E-2</c:v>
                </c:pt>
                <c:pt idx="54">
                  <c:v>2.6859930380740079E-2</c:v>
                </c:pt>
                <c:pt idx="55">
                  <c:v>2.7385533165510477E-2</c:v>
                </c:pt>
                <c:pt idx="56">
                  <c:v>2.7911135950280875E-2</c:v>
                </c:pt>
                <c:pt idx="57">
                  <c:v>2.8436738735051273E-2</c:v>
                </c:pt>
                <c:pt idx="58">
                  <c:v>2.8962341519821671E-2</c:v>
                </c:pt>
                <c:pt idx="59">
                  <c:v>2.9487944304592069E-2</c:v>
                </c:pt>
                <c:pt idx="60">
                  <c:v>3.0013547089362467E-2</c:v>
                </c:pt>
                <c:pt idx="61">
                  <c:v>3.0539149874132865E-2</c:v>
                </c:pt>
                <c:pt idx="62">
                  <c:v>3.1064752658903263E-2</c:v>
                </c:pt>
                <c:pt idx="63">
                  <c:v>3.1590355443673661E-2</c:v>
                </c:pt>
                <c:pt idx="64">
                  <c:v>3.2115958228444055E-2</c:v>
                </c:pt>
                <c:pt idx="65">
                  <c:v>3.264156101321445E-2</c:v>
                </c:pt>
                <c:pt idx="66">
                  <c:v>3.3167163797984844E-2</c:v>
                </c:pt>
                <c:pt idx="67">
                  <c:v>3.3692766582755239E-2</c:v>
                </c:pt>
                <c:pt idx="68">
                  <c:v>3.4218369367525633E-2</c:v>
                </c:pt>
                <c:pt idx="69">
                  <c:v>3.4743972152296028E-2</c:v>
                </c:pt>
                <c:pt idx="70">
                  <c:v>3.5269574937066422E-2</c:v>
                </c:pt>
                <c:pt idx="71">
                  <c:v>3.5795177721836817E-2</c:v>
                </c:pt>
                <c:pt idx="72">
                  <c:v>3.6320780506607211E-2</c:v>
                </c:pt>
                <c:pt idx="73">
                  <c:v>3.6846383291377606E-2</c:v>
                </c:pt>
                <c:pt idx="74">
                  <c:v>3.7371986076148E-2</c:v>
                </c:pt>
                <c:pt idx="75">
                  <c:v>3.7897588860918395E-2</c:v>
                </c:pt>
                <c:pt idx="76">
                  <c:v>3.842319164568879E-2</c:v>
                </c:pt>
                <c:pt idx="77">
                  <c:v>3.8948794430459184E-2</c:v>
                </c:pt>
                <c:pt idx="78">
                  <c:v>3.9474397215229579E-2</c:v>
                </c:pt>
                <c:pt idx="79">
                  <c:v>0.04</c:v>
                </c:pt>
                <c:pt idx="80">
                  <c:v>0.04</c:v>
                </c:pt>
                <c:pt idx="81">
                  <c:v>0.04</c:v>
                </c:pt>
                <c:pt idx="82">
                  <c:v>0.04</c:v>
                </c:pt>
                <c:pt idx="83">
                  <c:v>0.04</c:v>
                </c:pt>
                <c:pt idx="84">
                  <c:v>0.04</c:v>
                </c:pt>
                <c:pt idx="85">
                  <c:v>0.04</c:v>
                </c:pt>
                <c:pt idx="86">
                  <c:v>0.04</c:v>
                </c:pt>
                <c:pt idx="87">
                  <c:v>0.04</c:v>
                </c:pt>
                <c:pt idx="88">
                  <c:v>0.04</c:v>
                </c:pt>
                <c:pt idx="89">
                  <c:v>0.04</c:v>
                </c:pt>
                <c:pt idx="90">
                  <c:v>0.04</c:v>
                </c:pt>
                <c:pt idx="91">
                  <c:v>0.04</c:v>
                </c:pt>
                <c:pt idx="92">
                  <c:v>0.04</c:v>
                </c:pt>
                <c:pt idx="93">
                  <c:v>0.04</c:v>
                </c:pt>
                <c:pt idx="94">
                  <c:v>0.04</c:v>
                </c:pt>
                <c:pt idx="95">
                  <c:v>0.04</c:v>
                </c:pt>
                <c:pt idx="96">
                  <c:v>0.04</c:v>
                </c:pt>
                <c:pt idx="97">
                  <c:v>0.04</c:v>
                </c:pt>
                <c:pt idx="98">
                  <c:v>0.04</c:v>
                </c:pt>
                <c:pt idx="99">
                  <c:v>0.04</c:v>
                </c:pt>
              </c:numCache>
            </c:numRef>
          </c:val>
          <c:smooth val="0"/>
          <c:extLst>
            <c:ext xmlns:c16="http://schemas.microsoft.com/office/drawing/2014/chart" uri="{C3380CC4-5D6E-409C-BE32-E72D297353CC}">
              <c16:uniqueId val="{00000000-C405-4DC9-8331-3598D2334C2B}"/>
            </c:ext>
          </c:extLst>
        </c:ser>
        <c:ser>
          <c:idx val="1"/>
          <c:order val="1"/>
          <c:tx>
            <c:strRef>
              <c:f>'Courbe d''actualisation IFRS 17'!$P$3</c:f>
              <c:strCache>
                <c:ptCount val="1"/>
                <c:pt idx="0">
                  <c:v>Écart de liquidité</c:v>
                </c:pt>
              </c:strCache>
            </c:strRef>
          </c:tx>
          <c:spPr>
            <a:ln w="28575" cap="rnd">
              <a:solidFill>
                <a:schemeClr val="accent2"/>
              </a:solidFill>
              <a:round/>
            </a:ln>
            <a:effectLst/>
          </c:spPr>
          <c:marker>
            <c:symbol val="none"/>
          </c:marker>
          <c:cat>
            <c:numRef>
              <c:f>'Courbe d''actualisation IFRS 17'!$N$4:$N$103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'Courbe d''actualisation IFRS 17'!$P$4:$P$103</c:f>
              <c:numCache>
                <c:formatCode>0.00%</c:formatCode>
                <c:ptCount val="100"/>
                <c:pt idx="0">
                  <c:v>1.3450733686687588E-2</c:v>
                </c:pt>
                <c:pt idx="1">
                  <c:v>1.3863097118329337E-2</c:v>
                </c:pt>
                <c:pt idx="2">
                  <c:v>1.4205572851769821E-2</c:v>
                </c:pt>
                <c:pt idx="3">
                  <c:v>1.4421896327769856E-2</c:v>
                </c:pt>
                <c:pt idx="4">
                  <c:v>1.4776396835930461E-2</c:v>
                </c:pt>
                <c:pt idx="5">
                  <c:v>1.5365955840727974E-2</c:v>
                </c:pt>
                <c:pt idx="6">
                  <c:v>1.5965687434626397E-2</c:v>
                </c:pt>
                <c:pt idx="7">
                  <c:v>1.651493026709383E-2</c:v>
                </c:pt>
                <c:pt idx="8">
                  <c:v>1.681006603311086E-2</c:v>
                </c:pt>
                <c:pt idx="9">
                  <c:v>1.7008194567228574E-2</c:v>
                </c:pt>
                <c:pt idx="10">
                  <c:v>1.7180316555087449E-2</c:v>
                </c:pt>
                <c:pt idx="11">
                  <c:v>1.7361909322990698E-2</c:v>
                </c:pt>
                <c:pt idx="12">
                  <c:v>1.755382077863038E-2</c:v>
                </c:pt>
                <c:pt idx="13">
                  <c:v>1.7757031402732937E-2</c:v>
                </c:pt>
                <c:pt idx="14">
                  <c:v>1.7972671868255297E-2</c:v>
                </c:pt>
                <c:pt idx="15">
                  <c:v>1.8077461722882215E-2</c:v>
                </c:pt>
                <c:pt idx="16">
                  <c:v>1.8191063806327457E-2</c:v>
                </c:pt>
                <c:pt idx="17">
                  <c:v>1.8313716079108477E-2</c:v>
                </c:pt>
                <c:pt idx="18">
                  <c:v>1.844579265010482E-2</c:v>
                </c:pt>
                <c:pt idx="19">
                  <c:v>1.8587796629320807E-2</c:v>
                </c:pt>
                <c:pt idx="20">
                  <c:v>1.8648393751774184E-2</c:v>
                </c:pt>
                <c:pt idx="21">
                  <c:v>1.8715005746656854E-2</c:v>
                </c:pt>
                <c:pt idx="22">
                  <c:v>1.8787457943301888E-2</c:v>
                </c:pt>
                <c:pt idx="23">
                  <c:v>1.8865651476212164E-2</c:v>
                </c:pt>
                <c:pt idx="24">
                  <c:v>1.8949552658570512E-2</c:v>
                </c:pt>
                <c:pt idx="25">
                  <c:v>1.9003983654161949E-2</c:v>
                </c:pt>
                <c:pt idx="26">
                  <c:v>1.9062070568387046E-2</c:v>
                </c:pt>
                <c:pt idx="27">
                  <c:v>1.912360955484288E-2</c:v>
                </c:pt>
                <c:pt idx="28">
                  <c:v>1.9188433851483777E-2</c:v>
                </c:pt>
                <c:pt idx="29">
                  <c:v>1.9256408155290283E-2</c:v>
                </c:pt>
              </c:numCache>
            </c:numRef>
          </c:val>
          <c:smooth val="0"/>
          <c:extLst>
            <c:ext xmlns:c16="http://schemas.microsoft.com/office/drawing/2014/chart" uri="{C3380CC4-5D6E-409C-BE32-E72D297353CC}">
              <c16:uniqueId val="{00000001-C405-4DC9-8331-3598D2334C2B}"/>
            </c:ext>
          </c:extLst>
        </c:ser>
        <c:ser>
          <c:idx val="2"/>
          <c:order val="2"/>
          <c:tx>
            <c:strRef>
              <c:f>'Courbe d''actualisation IFRS 17'!$Q$3</c:f>
              <c:strCache>
                <c:ptCount val="1"/>
                <c:pt idx="0">
                  <c:v>Prime de liquidité additionnelle</c:v>
                </c:pt>
              </c:strCache>
            </c:strRef>
          </c:tx>
          <c:spPr>
            <a:ln w="28575" cap="rnd">
              <a:solidFill>
                <a:schemeClr val="accent3"/>
              </a:solidFill>
              <a:round/>
            </a:ln>
            <a:effectLst/>
          </c:spPr>
          <c:marker>
            <c:symbol val="none"/>
          </c:marker>
          <c:cat>
            <c:numRef>
              <c:f>'Courbe d''actualisation IFRS 17'!$N$4:$N$103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'Courbe d''actualisation IFRS 17'!$Q$4:$Q$103</c:f>
              <c:numCache>
                <c:formatCode>0.00%</c:formatCode>
                <c:ptCount val="100"/>
                <c:pt idx="0">
                  <c:v>1.5E-3</c:v>
                </c:pt>
                <c:pt idx="1">
                  <c:v>1.5E-3</c:v>
                </c:pt>
                <c:pt idx="2">
                  <c:v>1.5E-3</c:v>
                </c:pt>
                <c:pt idx="3">
                  <c:v>1.5E-3</c:v>
                </c:pt>
                <c:pt idx="4">
                  <c:v>1.5E-3</c:v>
                </c:pt>
                <c:pt idx="5">
                  <c:v>1.5E-3</c:v>
                </c:pt>
                <c:pt idx="6">
                  <c:v>1.5E-3</c:v>
                </c:pt>
                <c:pt idx="7">
                  <c:v>1.5E-3</c:v>
                </c:pt>
                <c:pt idx="8">
                  <c:v>1.5E-3</c:v>
                </c:pt>
                <c:pt idx="9">
                  <c:v>1.5E-3</c:v>
                </c:pt>
                <c:pt idx="10">
                  <c:v>1.5E-3</c:v>
                </c:pt>
                <c:pt idx="11">
                  <c:v>1.5E-3</c:v>
                </c:pt>
                <c:pt idx="12">
                  <c:v>1.5E-3</c:v>
                </c:pt>
                <c:pt idx="13">
                  <c:v>1.5E-3</c:v>
                </c:pt>
                <c:pt idx="14">
                  <c:v>1.5E-3</c:v>
                </c:pt>
                <c:pt idx="15">
                  <c:v>1.5E-3</c:v>
                </c:pt>
                <c:pt idx="16">
                  <c:v>1.5E-3</c:v>
                </c:pt>
                <c:pt idx="17">
                  <c:v>1.5E-3</c:v>
                </c:pt>
                <c:pt idx="18">
                  <c:v>1.5E-3</c:v>
                </c:pt>
                <c:pt idx="19">
                  <c:v>1.5E-3</c:v>
                </c:pt>
                <c:pt idx="20">
                  <c:v>1.5E-3</c:v>
                </c:pt>
                <c:pt idx="21">
                  <c:v>1.5E-3</c:v>
                </c:pt>
                <c:pt idx="22">
                  <c:v>1.5E-3</c:v>
                </c:pt>
                <c:pt idx="23">
                  <c:v>1.5E-3</c:v>
                </c:pt>
                <c:pt idx="24">
                  <c:v>1.5E-3</c:v>
                </c:pt>
                <c:pt idx="25">
                  <c:v>1.5E-3</c:v>
                </c:pt>
                <c:pt idx="26">
                  <c:v>1.5E-3</c:v>
                </c:pt>
                <c:pt idx="27">
                  <c:v>1.5E-3</c:v>
                </c:pt>
                <c:pt idx="28">
                  <c:v>1.5E-3</c:v>
                </c:pt>
                <c:pt idx="29">
                  <c:v>1.5E-3</c:v>
                </c:pt>
              </c:numCache>
            </c:numRef>
          </c:val>
          <c:smooth val="0"/>
          <c:extLst>
            <c:ext xmlns:c16="http://schemas.microsoft.com/office/drawing/2014/chart" uri="{C3380CC4-5D6E-409C-BE32-E72D297353CC}">
              <c16:uniqueId val="{00000002-C405-4DC9-8331-3598D2334C2B}"/>
            </c:ext>
          </c:extLst>
        </c:ser>
        <c:ser>
          <c:idx val="3"/>
          <c:order val="3"/>
          <c:tx>
            <c:strRef>
              <c:f>'Courbe d''actualisation IFRS 17'!$R$3</c:f>
              <c:strCache>
                <c:ptCount val="1"/>
                <c:pt idx="0">
                  <c:v>Prime de liquidité</c:v>
                </c:pt>
              </c:strCache>
            </c:strRef>
          </c:tx>
          <c:spPr>
            <a:ln w="28575" cap="rnd">
              <a:solidFill>
                <a:srgbClr val="00B050"/>
              </a:solidFill>
              <a:round/>
            </a:ln>
            <a:effectLst/>
          </c:spPr>
          <c:marker>
            <c:symbol val="none"/>
          </c:marker>
          <c:cat>
            <c:numRef>
              <c:f>'Courbe d''actualisation IFRS 17'!$N$4:$N$103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'Courbe d''actualisation IFRS 17'!$R$4:$R$103</c:f>
              <c:numCache>
                <c:formatCode>0.00%</c:formatCode>
                <c:ptCount val="100"/>
                <c:pt idx="0">
                  <c:v>1.4950733686687588E-2</c:v>
                </c:pt>
                <c:pt idx="1">
                  <c:v>1.5363097118329337E-2</c:v>
                </c:pt>
                <c:pt idx="2">
                  <c:v>1.5705572851769822E-2</c:v>
                </c:pt>
                <c:pt idx="3">
                  <c:v>1.5921896327769858E-2</c:v>
                </c:pt>
                <c:pt idx="4">
                  <c:v>1.6276396835930462E-2</c:v>
                </c:pt>
                <c:pt idx="5">
                  <c:v>1.6865955840727975E-2</c:v>
                </c:pt>
                <c:pt idx="6">
                  <c:v>1.7465687434626398E-2</c:v>
                </c:pt>
                <c:pt idx="7">
                  <c:v>1.8014930267093832E-2</c:v>
                </c:pt>
                <c:pt idx="8">
                  <c:v>1.8310066033110861E-2</c:v>
                </c:pt>
                <c:pt idx="9">
                  <c:v>1.8508194567228575E-2</c:v>
                </c:pt>
                <c:pt idx="10">
                  <c:v>1.8680316555087451E-2</c:v>
                </c:pt>
                <c:pt idx="11">
                  <c:v>1.88619093229907E-2</c:v>
                </c:pt>
                <c:pt idx="12">
                  <c:v>1.9053820778630381E-2</c:v>
                </c:pt>
                <c:pt idx="13">
                  <c:v>1.9257031402732938E-2</c:v>
                </c:pt>
                <c:pt idx="14">
                  <c:v>1.9472671868255298E-2</c:v>
                </c:pt>
                <c:pt idx="15">
                  <c:v>1.9577461722882217E-2</c:v>
                </c:pt>
                <c:pt idx="16">
                  <c:v>1.9691063806327458E-2</c:v>
                </c:pt>
                <c:pt idx="17">
                  <c:v>1.9813716079108479E-2</c:v>
                </c:pt>
                <c:pt idx="18">
                  <c:v>1.9945792650104821E-2</c:v>
                </c:pt>
                <c:pt idx="19">
                  <c:v>2.0087796629320809E-2</c:v>
                </c:pt>
                <c:pt idx="20">
                  <c:v>2.0148393751774185E-2</c:v>
                </c:pt>
                <c:pt idx="21">
                  <c:v>2.0215005746656856E-2</c:v>
                </c:pt>
                <c:pt idx="22">
                  <c:v>2.028745794330189E-2</c:v>
                </c:pt>
                <c:pt idx="23">
                  <c:v>2.0365651476212165E-2</c:v>
                </c:pt>
                <c:pt idx="24">
                  <c:v>2.0449552658570513E-2</c:v>
                </c:pt>
                <c:pt idx="25">
                  <c:v>2.050398365416195E-2</c:v>
                </c:pt>
                <c:pt idx="26">
                  <c:v>2.0562070568387047E-2</c:v>
                </c:pt>
                <c:pt idx="27">
                  <c:v>2.0623609554842881E-2</c:v>
                </c:pt>
                <c:pt idx="28">
                  <c:v>2.0688433851483778E-2</c:v>
                </c:pt>
                <c:pt idx="29">
                  <c:v>2.0756408155290285E-2</c:v>
                </c:pt>
                <c:pt idx="30">
                  <c:v>2.0641279992184479E-2</c:v>
                </c:pt>
                <c:pt idx="31">
                  <c:v>2.0526151829078673E-2</c:v>
                </c:pt>
                <c:pt idx="32">
                  <c:v>2.0411023665972867E-2</c:v>
                </c:pt>
                <c:pt idx="33">
                  <c:v>2.0295895502867062E-2</c:v>
                </c:pt>
                <c:pt idx="34">
                  <c:v>2.0180767339761256E-2</c:v>
                </c:pt>
                <c:pt idx="35">
                  <c:v>2.006563917665545E-2</c:v>
                </c:pt>
                <c:pt idx="36">
                  <c:v>1.9950511013549645E-2</c:v>
                </c:pt>
                <c:pt idx="37">
                  <c:v>1.9835382850443839E-2</c:v>
                </c:pt>
                <c:pt idx="38">
                  <c:v>1.9720254687338033E-2</c:v>
                </c:pt>
                <c:pt idx="39">
                  <c:v>1.9605126524232228E-2</c:v>
                </c:pt>
                <c:pt idx="40">
                  <c:v>1.9489998361126422E-2</c:v>
                </c:pt>
                <c:pt idx="41">
                  <c:v>1.9374870198020616E-2</c:v>
                </c:pt>
                <c:pt idx="42">
                  <c:v>1.925974203491481E-2</c:v>
                </c:pt>
                <c:pt idx="43">
                  <c:v>1.9144613871809005E-2</c:v>
                </c:pt>
                <c:pt idx="44">
                  <c:v>1.9029485708703199E-2</c:v>
                </c:pt>
                <c:pt idx="45">
                  <c:v>1.8914357545597393E-2</c:v>
                </c:pt>
                <c:pt idx="46">
                  <c:v>1.8799229382491588E-2</c:v>
                </c:pt>
                <c:pt idx="47">
                  <c:v>1.8684101219385782E-2</c:v>
                </c:pt>
                <c:pt idx="48">
                  <c:v>1.8568973056279976E-2</c:v>
                </c:pt>
                <c:pt idx="49">
                  <c:v>1.8453844893174171E-2</c:v>
                </c:pt>
                <c:pt idx="50">
                  <c:v>1.8338716730068365E-2</c:v>
                </c:pt>
                <c:pt idx="51">
                  <c:v>1.8223588566962559E-2</c:v>
                </c:pt>
                <c:pt idx="52">
                  <c:v>1.8108460403856753E-2</c:v>
                </c:pt>
                <c:pt idx="53">
                  <c:v>1.7993332240750948E-2</c:v>
                </c:pt>
                <c:pt idx="54">
                  <c:v>1.7878204077645142E-2</c:v>
                </c:pt>
                <c:pt idx="55">
                  <c:v>1.7763075914539336E-2</c:v>
                </c:pt>
                <c:pt idx="56">
                  <c:v>1.7647947751433531E-2</c:v>
                </c:pt>
                <c:pt idx="57">
                  <c:v>1.7532819588327725E-2</c:v>
                </c:pt>
                <c:pt idx="58">
                  <c:v>1.7417691425221919E-2</c:v>
                </c:pt>
                <c:pt idx="59">
                  <c:v>1.7302563262116114E-2</c:v>
                </c:pt>
                <c:pt idx="60">
                  <c:v>1.7187435099010308E-2</c:v>
                </c:pt>
                <c:pt idx="61">
                  <c:v>1.7072306935904502E-2</c:v>
                </c:pt>
                <c:pt idx="62">
                  <c:v>1.6957178772798696E-2</c:v>
                </c:pt>
                <c:pt idx="63">
                  <c:v>1.6842050609692891E-2</c:v>
                </c:pt>
                <c:pt idx="64">
                  <c:v>1.6726922446587085E-2</c:v>
                </c:pt>
                <c:pt idx="65">
                  <c:v>1.6611794283481279E-2</c:v>
                </c:pt>
                <c:pt idx="66">
                  <c:v>1.6496666120375474E-2</c:v>
                </c:pt>
                <c:pt idx="67">
                  <c:v>1.6381537957269668E-2</c:v>
                </c:pt>
                <c:pt idx="68">
                  <c:v>1.6266409794163862E-2</c:v>
                </c:pt>
                <c:pt idx="69">
                  <c:v>1.6151281631058056E-2</c:v>
                </c:pt>
                <c:pt idx="70">
                  <c:v>1.6036153467952251E-2</c:v>
                </c:pt>
                <c:pt idx="71">
                  <c:v>1.5921025304846445E-2</c:v>
                </c:pt>
                <c:pt idx="72">
                  <c:v>1.5805897141740639E-2</c:v>
                </c:pt>
                <c:pt idx="73">
                  <c:v>1.5690768978634834E-2</c:v>
                </c:pt>
                <c:pt idx="74">
                  <c:v>1.5575640815529028E-2</c:v>
                </c:pt>
                <c:pt idx="75">
                  <c:v>1.5460512652423222E-2</c:v>
                </c:pt>
                <c:pt idx="76">
                  <c:v>1.5345384489317417E-2</c:v>
                </c:pt>
                <c:pt idx="77">
                  <c:v>1.5230256326211611E-2</c:v>
                </c:pt>
                <c:pt idx="78">
                  <c:v>1.5115128163105805E-2</c:v>
                </c:pt>
                <c:pt idx="79">
                  <c:v>1.4999999999999999E-2</c:v>
                </c:pt>
                <c:pt idx="80">
                  <c:v>1.4999999999999999E-2</c:v>
                </c:pt>
                <c:pt idx="81">
                  <c:v>1.4999999999999999E-2</c:v>
                </c:pt>
                <c:pt idx="82">
                  <c:v>1.4999999999999999E-2</c:v>
                </c:pt>
                <c:pt idx="83">
                  <c:v>1.4999999999999999E-2</c:v>
                </c:pt>
                <c:pt idx="84">
                  <c:v>1.4999999999999999E-2</c:v>
                </c:pt>
                <c:pt idx="85">
                  <c:v>1.4999999999999999E-2</c:v>
                </c:pt>
                <c:pt idx="86">
                  <c:v>1.4999999999999999E-2</c:v>
                </c:pt>
                <c:pt idx="87">
                  <c:v>1.4999999999999999E-2</c:v>
                </c:pt>
                <c:pt idx="88">
                  <c:v>1.4999999999999999E-2</c:v>
                </c:pt>
                <c:pt idx="89">
                  <c:v>1.4999999999999999E-2</c:v>
                </c:pt>
                <c:pt idx="90">
                  <c:v>1.4999999999999999E-2</c:v>
                </c:pt>
                <c:pt idx="91">
                  <c:v>1.4999999999999999E-2</c:v>
                </c:pt>
                <c:pt idx="92">
                  <c:v>1.4999999999999999E-2</c:v>
                </c:pt>
                <c:pt idx="93">
                  <c:v>1.4999999999999999E-2</c:v>
                </c:pt>
                <c:pt idx="94">
                  <c:v>1.4999999999999999E-2</c:v>
                </c:pt>
                <c:pt idx="95">
                  <c:v>1.4999999999999999E-2</c:v>
                </c:pt>
                <c:pt idx="96">
                  <c:v>1.4999999999999999E-2</c:v>
                </c:pt>
                <c:pt idx="97">
                  <c:v>1.4999999999999999E-2</c:v>
                </c:pt>
                <c:pt idx="98">
                  <c:v>1.4999999999999999E-2</c:v>
                </c:pt>
                <c:pt idx="99">
                  <c:v>1.4999999999999999E-2</c:v>
                </c:pt>
              </c:numCache>
            </c:numRef>
          </c:val>
          <c:smooth val="0"/>
          <c:extLst>
            <c:ext xmlns:c16="http://schemas.microsoft.com/office/drawing/2014/chart" uri="{C3380CC4-5D6E-409C-BE32-E72D297353CC}">
              <c16:uniqueId val="{00000003-C405-4DC9-8331-3598D2334C2B}"/>
            </c:ext>
          </c:extLst>
        </c:ser>
        <c:ser>
          <c:idx val="4"/>
          <c:order val="4"/>
          <c:tx>
            <c:strRef>
              <c:f>'Courbe d''actualisation IFRS 17'!$S$3</c:f>
              <c:strCache>
                <c:ptCount val="1"/>
                <c:pt idx="0">
                  <c:v>Courbe d'actualisation au comptant selon IFRS 17</c:v>
                </c:pt>
              </c:strCache>
            </c:strRef>
          </c:tx>
          <c:spPr>
            <a:ln w="28575" cap="rnd">
              <a:solidFill>
                <a:srgbClr val="0070C0"/>
              </a:solidFill>
              <a:round/>
            </a:ln>
            <a:effectLst/>
          </c:spPr>
          <c:marker>
            <c:symbol val="none"/>
          </c:marker>
          <c:cat>
            <c:numRef>
              <c:f>'Courbe d''actualisation IFRS 17'!$N$4:$N$103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'Courbe d''actualisation IFRS 17'!$S$4:$S$103</c:f>
              <c:numCache>
                <c:formatCode>0.00%</c:formatCode>
                <c:ptCount val="100"/>
                <c:pt idx="0">
                  <c:v>1.9215270586687427E-2</c:v>
                </c:pt>
                <c:pt idx="1">
                  <c:v>1.9929067911523546E-2</c:v>
                </c:pt>
                <c:pt idx="2">
                  <c:v>2.0845797462791305E-2</c:v>
                </c:pt>
                <c:pt idx="3">
                  <c:v>2.1769817499996513E-2</c:v>
                </c:pt>
                <c:pt idx="4">
                  <c:v>2.2437673246297807E-2</c:v>
                </c:pt>
                <c:pt idx="5">
                  <c:v>2.3295870547627995E-2</c:v>
                </c:pt>
                <c:pt idx="6">
                  <c:v>2.41653445777672E-2</c:v>
                </c:pt>
                <c:pt idx="7">
                  <c:v>2.4784375268780912E-2</c:v>
                </c:pt>
                <c:pt idx="8">
                  <c:v>2.5574647334998535E-2</c:v>
                </c:pt>
                <c:pt idx="9">
                  <c:v>2.6322931989688325E-2</c:v>
                </c:pt>
                <c:pt idx="10">
                  <c:v>2.7179872171116448E-2</c:v>
                </c:pt>
                <c:pt idx="11">
                  <c:v>2.8052017087013326E-2</c:v>
                </c:pt>
                <c:pt idx="12">
                  <c:v>2.8940857249198926E-2</c:v>
                </c:pt>
                <c:pt idx="13">
                  <c:v>2.9848049592591908E-2</c:v>
                </c:pt>
                <c:pt idx="14">
                  <c:v>3.0775442437794953E-2</c:v>
                </c:pt>
                <c:pt idx="15">
                  <c:v>3.1295622842636095E-2</c:v>
                </c:pt>
                <c:pt idx="16">
                  <c:v>3.1828755290975064E-2</c:v>
                </c:pt>
                <c:pt idx="17">
                  <c:v>3.2375307828667432E-2</c:v>
                </c:pt>
                <c:pt idx="18">
                  <c:v>3.2935911232928661E-2</c:v>
                </c:pt>
                <c:pt idx="19">
                  <c:v>3.3511351139159484E-2</c:v>
                </c:pt>
                <c:pt idx="20">
                  <c:v>3.3679762398565682E-2</c:v>
                </c:pt>
                <c:pt idx="21">
                  <c:v>3.3856224285833847E-2</c:v>
                </c:pt>
                <c:pt idx="22">
                  <c:v>3.4040434629198701E-2</c:v>
                </c:pt>
                <c:pt idx="23">
                  <c:v>3.4232194227363455E-2</c:v>
                </c:pt>
                <c:pt idx="24">
                  <c:v>3.4431391065564809E-2</c:v>
                </c:pt>
                <c:pt idx="25">
                  <c:v>3.4430978034240112E-2</c:v>
                </c:pt>
                <c:pt idx="26">
                  <c:v>3.4435598041222926E-2</c:v>
                </c:pt>
                <c:pt idx="27">
                  <c:v>3.444488342848695E-2</c:v>
                </c:pt>
                <c:pt idx="28">
                  <c:v>3.4458526257621025E-2</c:v>
                </c:pt>
                <c:pt idx="29">
                  <c:v>3.4476268916770414E-2</c:v>
                </c:pt>
                <c:pt idx="30">
                  <c:v>3.4886743538435003E-2</c:v>
                </c:pt>
                <c:pt idx="31">
                  <c:v>3.5297218160099599E-2</c:v>
                </c:pt>
                <c:pt idx="32">
                  <c:v>3.5707692781764194E-2</c:v>
                </c:pt>
                <c:pt idx="33">
                  <c:v>3.6118167403428783E-2</c:v>
                </c:pt>
                <c:pt idx="34">
                  <c:v>3.6528642025093372E-2</c:v>
                </c:pt>
                <c:pt idx="35">
                  <c:v>3.6939116646757968E-2</c:v>
                </c:pt>
                <c:pt idx="36">
                  <c:v>3.7349591268422563E-2</c:v>
                </c:pt>
                <c:pt idx="37">
                  <c:v>3.7760065890087152E-2</c:v>
                </c:pt>
                <c:pt idx="38">
                  <c:v>3.8170540511751741E-2</c:v>
                </c:pt>
                <c:pt idx="39">
                  <c:v>3.8581015133416337E-2</c:v>
                </c:pt>
                <c:pt idx="40">
                  <c:v>3.8991489755080933E-2</c:v>
                </c:pt>
                <c:pt idx="41">
                  <c:v>3.9401964376745521E-2</c:v>
                </c:pt>
                <c:pt idx="42">
                  <c:v>3.981243899841011E-2</c:v>
                </c:pt>
                <c:pt idx="43">
                  <c:v>4.0222913620074706E-2</c:v>
                </c:pt>
                <c:pt idx="44">
                  <c:v>4.0633388241739302E-2</c:v>
                </c:pt>
                <c:pt idx="45">
                  <c:v>4.104386286340389E-2</c:v>
                </c:pt>
                <c:pt idx="46">
                  <c:v>4.1454337485068479E-2</c:v>
                </c:pt>
                <c:pt idx="47">
                  <c:v>4.1864812106733075E-2</c:v>
                </c:pt>
                <c:pt idx="48">
                  <c:v>4.2275286728397671E-2</c:v>
                </c:pt>
                <c:pt idx="49">
                  <c:v>4.268576135006226E-2</c:v>
                </c:pt>
                <c:pt idx="50">
                  <c:v>4.3096235971726848E-2</c:v>
                </c:pt>
                <c:pt idx="51">
                  <c:v>4.3506710593391444E-2</c:v>
                </c:pt>
                <c:pt idx="52">
                  <c:v>4.391718521505604E-2</c:v>
                </c:pt>
                <c:pt idx="53">
                  <c:v>4.4327659836720629E-2</c:v>
                </c:pt>
                <c:pt idx="54">
                  <c:v>4.4738134458385218E-2</c:v>
                </c:pt>
                <c:pt idx="55">
                  <c:v>4.5148609080049813E-2</c:v>
                </c:pt>
                <c:pt idx="56">
                  <c:v>4.5559083701714409E-2</c:v>
                </c:pt>
                <c:pt idx="57">
                  <c:v>4.5969558323378998E-2</c:v>
                </c:pt>
                <c:pt idx="58">
                  <c:v>4.6380032945043587E-2</c:v>
                </c:pt>
                <c:pt idx="59">
                  <c:v>4.6790507566708182E-2</c:v>
                </c:pt>
                <c:pt idx="60">
                  <c:v>4.7200982188372778E-2</c:v>
                </c:pt>
                <c:pt idx="61">
                  <c:v>4.7611456810037367E-2</c:v>
                </c:pt>
                <c:pt idx="62">
                  <c:v>4.8021931431701956E-2</c:v>
                </c:pt>
                <c:pt idx="63">
                  <c:v>4.8432406053366552E-2</c:v>
                </c:pt>
                <c:pt idx="64">
                  <c:v>4.884288067503114E-2</c:v>
                </c:pt>
                <c:pt idx="65">
                  <c:v>4.9253355296695729E-2</c:v>
                </c:pt>
                <c:pt idx="66">
                  <c:v>4.9663829918360318E-2</c:v>
                </c:pt>
                <c:pt idx="67">
                  <c:v>5.0074304540024907E-2</c:v>
                </c:pt>
                <c:pt idx="68">
                  <c:v>5.0484779161689496E-2</c:v>
                </c:pt>
                <c:pt idx="69">
                  <c:v>5.0895253783354084E-2</c:v>
                </c:pt>
                <c:pt idx="70">
                  <c:v>5.1305728405018673E-2</c:v>
                </c:pt>
                <c:pt idx="71">
                  <c:v>5.1716203026683262E-2</c:v>
                </c:pt>
                <c:pt idx="72">
                  <c:v>5.2126677648347851E-2</c:v>
                </c:pt>
                <c:pt idx="73">
                  <c:v>5.253715227001244E-2</c:v>
                </c:pt>
                <c:pt idx="74">
                  <c:v>5.2947626891677028E-2</c:v>
                </c:pt>
                <c:pt idx="75">
                  <c:v>5.3358101513341617E-2</c:v>
                </c:pt>
                <c:pt idx="76">
                  <c:v>5.3768576135006206E-2</c:v>
                </c:pt>
                <c:pt idx="77">
                  <c:v>5.4179050756670795E-2</c:v>
                </c:pt>
                <c:pt idx="78">
                  <c:v>5.4589525378335384E-2</c:v>
                </c:pt>
                <c:pt idx="79">
                  <c:v>5.5E-2</c:v>
                </c:pt>
                <c:pt idx="80">
                  <c:v>5.5E-2</c:v>
                </c:pt>
                <c:pt idx="81">
                  <c:v>5.5E-2</c:v>
                </c:pt>
                <c:pt idx="82">
                  <c:v>5.5E-2</c:v>
                </c:pt>
                <c:pt idx="83">
                  <c:v>5.5E-2</c:v>
                </c:pt>
                <c:pt idx="84">
                  <c:v>5.5E-2</c:v>
                </c:pt>
                <c:pt idx="85">
                  <c:v>5.5E-2</c:v>
                </c:pt>
                <c:pt idx="86">
                  <c:v>5.5E-2</c:v>
                </c:pt>
                <c:pt idx="87">
                  <c:v>5.5E-2</c:v>
                </c:pt>
                <c:pt idx="88">
                  <c:v>5.5E-2</c:v>
                </c:pt>
                <c:pt idx="89">
                  <c:v>5.5E-2</c:v>
                </c:pt>
                <c:pt idx="90">
                  <c:v>5.5E-2</c:v>
                </c:pt>
                <c:pt idx="91">
                  <c:v>5.5E-2</c:v>
                </c:pt>
                <c:pt idx="92">
                  <c:v>5.5E-2</c:v>
                </c:pt>
                <c:pt idx="93">
                  <c:v>5.5E-2</c:v>
                </c:pt>
                <c:pt idx="94">
                  <c:v>5.5E-2</c:v>
                </c:pt>
                <c:pt idx="95">
                  <c:v>5.5E-2</c:v>
                </c:pt>
                <c:pt idx="96">
                  <c:v>5.5E-2</c:v>
                </c:pt>
                <c:pt idx="97">
                  <c:v>5.5E-2</c:v>
                </c:pt>
                <c:pt idx="98">
                  <c:v>5.5E-2</c:v>
                </c:pt>
                <c:pt idx="99">
                  <c:v>5.5E-2</c:v>
                </c:pt>
              </c:numCache>
            </c:numRef>
          </c:val>
          <c:smooth val="0"/>
          <c:extLst>
            <c:ext xmlns:c16="http://schemas.microsoft.com/office/drawing/2014/chart" uri="{C3380CC4-5D6E-409C-BE32-E72D297353CC}">
              <c16:uniqueId val="{00000004-C405-4DC9-8331-3598D2334C2B}"/>
            </c:ext>
          </c:extLst>
        </c:ser>
        <c:ser>
          <c:idx val="5"/>
          <c:order val="5"/>
          <c:tx>
            <c:strRef>
              <c:f>'Courbe d''actualisation IFRS 17'!$T$3</c:f>
              <c:strCache>
                <c:ptCount val="1"/>
                <c:pt idx="0">
                  <c:v>Courbe d'actualiation à terme selon IFRS 17</c:v>
                </c:pt>
              </c:strCache>
            </c:strRef>
          </c:tx>
          <c:spPr>
            <a:ln w="28575" cap="rnd">
              <a:solidFill>
                <a:schemeClr val="accent4">
                  <a:lumMod val="40000"/>
                  <a:lumOff val="60000"/>
                </a:schemeClr>
              </a:solidFill>
              <a:round/>
            </a:ln>
            <a:effectLst/>
          </c:spPr>
          <c:marker>
            <c:symbol val="none"/>
          </c:marker>
          <c:cat>
            <c:numRef>
              <c:f>'Courbe d''actualisation IFRS 17'!$N$4:$N$103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'Courbe d''actualisation IFRS 17'!$T$4:$T$103</c:f>
              <c:numCache>
                <c:formatCode>0.00%</c:formatCode>
                <c:ptCount val="100"/>
                <c:pt idx="0">
                  <c:v>1.9215270586687427E-2</c:v>
                </c:pt>
                <c:pt idx="1">
                  <c:v>2.0643365137249736E-2</c:v>
                </c:pt>
                <c:pt idx="2">
                  <c:v>2.2681729222151059E-2</c:v>
                </c:pt>
                <c:pt idx="3">
                  <c:v>2.4546898908861525E-2</c:v>
                </c:pt>
                <c:pt idx="4">
                  <c:v>2.5113464367294336E-2</c:v>
                </c:pt>
                <c:pt idx="5">
                  <c:v>2.7597674252305193E-2</c:v>
                </c:pt>
                <c:pt idx="6">
                  <c:v>2.9397725016032439E-2</c:v>
                </c:pt>
                <c:pt idx="7">
                  <c:v>2.9128079185782862E-2</c:v>
                </c:pt>
                <c:pt idx="8">
                  <c:v>3.1918802712763705E-2</c:v>
                </c:pt>
                <c:pt idx="9">
                  <c:v>3.3082110260592712E-2</c:v>
                </c:pt>
                <c:pt idx="10">
                  <c:v>3.5788725890746997E-2</c:v>
                </c:pt>
                <c:pt idx="11">
                  <c:v>3.7694623396211435E-2</c:v>
                </c:pt>
                <c:pt idx="12">
                  <c:v>3.9667071026080469E-2</c:v>
                </c:pt>
                <c:pt idx="13">
                  <c:v>4.1714593690850732E-2</c:v>
                </c:pt>
                <c:pt idx="14">
                  <c:v>4.3846974077949019E-2</c:v>
                </c:pt>
                <c:pt idx="15">
                  <c:v>3.9129904282449335E-2</c:v>
                </c:pt>
                <c:pt idx="16">
                  <c:v>4.0396453800012555E-2</c:v>
                </c:pt>
                <c:pt idx="17">
                  <c:v>4.1711120629756682E-2</c:v>
                </c:pt>
                <c:pt idx="18">
                  <c:v>4.3078988941324559E-2</c:v>
                </c:pt>
                <c:pt idx="19">
                  <c:v>4.4505822250006544E-2</c:v>
                </c:pt>
                <c:pt idx="20">
                  <c:v>3.7053756507656965E-2</c:v>
                </c:pt>
                <c:pt idx="21">
                  <c:v>3.756889053951884E-2</c:v>
                </c:pt>
                <c:pt idx="22">
                  <c:v>3.810137656984347E-2</c:v>
                </c:pt>
                <c:pt idx="23">
                  <c:v>3.8652493243680253E-2</c:v>
                </c:pt>
                <c:pt idx="24">
                  <c:v>3.9223642004239778E-2</c:v>
                </c:pt>
                <c:pt idx="25">
                  <c:v>3.442065230471858E-2</c:v>
                </c:pt>
                <c:pt idx="26">
                  <c:v>3.4555725465585496E-2</c:v>
                </c:pt>
                <c:pt idx="27">
                  <c:v>3.469562039271179E-2</c:v>
                </c:pt>
                <c:pt idx="28">
                  <c:v>3.4840598533276035E-2</c:v>
                </c:pt>
                <c:pt idx="29">
                  <c:v>3.4990938430621954E-2</c:v>
                </c:pt>
                <c:pt idx="30">
                  <c:v>4.7277009965125627E-2</c:v>
                </c:pt>
                <c:pt idx="31">
                  <c:v>4.8103006175780338E-2</c:v>
                </c:pt>
                <c:pt idx="32">
                  <c:v>4.8929163117684471E-2</c:v>
                </c:pt>
                <c:pt idx="33">
                  <c:v>4.9755480662646567E-2</c:v>
                </c:pt>
                <c:pt idx="34">
                  <c:v>5.0581958682561545E-2</c:v>
                </c:pt>
                <c:pt idx="35">
                  <c:v>5.1408597049474425E-2</c:v>
                </c:pt>
                <c:pt idx="36">
                  <c:v>5.2235395635587434E-2</c:v>
                </c:pt>
                <c:pt idx="37">
                  <c:v>5.3062354313172078E-2</c:v>
                </c:pt>
                <c:pt idx="38">
                  <c:v>5.3889472954663731E-2</c:v>
                </c:pt>
                <c:pt idx="39">
                  <c:v>5.4716751432611233E-2</c:v>
                </c:pt>
                <c:pt idx="40">
                  <c:v>5.5544189619728845E-2</c:v>
                </c:pt>
                <c:pt idx="41">
                  <c:v>5.6371787388797889E-2</c:v>
                </c:pt>
                <c:pt idx="42">
                  <c:v>5.7199544612746456E-2</c:v>
                </c:pt>
                <c:pt idx="43">
                  <c:v>5.8027461164674943E-2</c:v>
                </c:pt>
                <c:pt idx="44">
                  <c:v>5.8855536917747697E-2</c:v>
                </c:pt>
                <c:pt idx="45">
                  <c:v>5.9683771745291159E-2</c:v>
                </c:pt>
                <c:pt idx="46">
                  <c:v>6.0512165520728134E-2</c:v>
                </c:pt>
                <c:pt idx="47">
                  <c:v>6.13407181176715E-2</c:v>
                </c:pt>
                <c:pt idx="48">
                  <c:v>6.2169429409782317E-2</c:v>
                </c:pt>
                <c:pt idx="49">
                  <c:v>6.2998299270886182E-2</c:v>
                </c:pt>
                <c:pt idx="50">
                  <c:v>6.3827327574951243E-2</c:v>
                </c:pt>
                <c:pt idx="51">
                  <c:v>6.4656514196032244E-2</c:v>
                </c:pt>
                <c:pt idx="52">
                  <c:v>6.5485859008324709E-2</c:v>
                </c:pt>
                <c:pt idx="53">
                  <c:v>6.6315361886183588E-2</c:v>
                </c:pt>
                <c:pt idx="54">
                  <c:v>6.7145022704023782E-2</c:v>
                </c:pt>
                <c:pt idx="55">
                  <c:v>6.7974841336434721E-2</c:v>
                </c:pt>
                <c:pt idx="56">
                  <c:v>6.880481765811064E-2</c:v>
                </c:pt>
                <c:pt idx="57">
                  <c:v>6.9634951543897206E-2</c:v>
                </c:pt>
                <c:pt idx="58">
                  <c:v>7.0465242868726241E-2</c:v>
                </c:pt>
                <c:pt idx="59">
                  <c:v>7.1295691507663017E-2</c:v>
                </c:pt>
                <c:pt idx="60">
                  <c:v>7.2126297335930678E-2</c:v>
                </c:pt>
                <c:pt idx="61">
                  <c:v>7.2957060228836301E-2</c:v>
                </c:pt>
                <c:pt idx="62">
                  <c:v>7.3787980061818859E-2</c:v>
                </c:pt>
                <c:pt idx="63">
                  <c:v>7.4619056710483411E-2</c:v>
                </c:pt>
                <c:pt idx="64">
                  <c:v>7.5450290050483204E-2</c:v>
                </c:pt>
                <c:pt idx="65">
                  <c:v>7.628167995766777E-2</c:v>
                </c:pt>
                <c:pt idx="66">
                  <c:v>7.7113226307951699E-2</c:v>
                </c:pt>
                <c:pt idx="67">
                  <c:v>7.7944928977436323E-2</c:v>
                </c:pt>
                <c:pt idx="68">
                  <c:v>7.8776787842289142E-2</c:v>
                </c:pt>
                <c:pt idx="69">
                  <c:v>7.9608802778800891E-2</c:v>
                </c:pt>
                <c:pt idx="70">
                  <c:v>8.044097366346592E-2</c:v>
                </c:pt>
                <c:pt idx="71">
                  <c:v>8.1273300372794566E-2</c:v>
                </c:pt>
                <c:pt idx="72">
                  <c:v>8.2105782783458814E-2</c:v>
                </c:pt>
                <c:pt idx="73">
                  <c:v>8.2938420772313837E-2</c:v>
                </c:pt>
                <c:pt idx="74">
                  <c:v>8.3771214216253442E-2</c:v>
                </c:pt>
                <c:pt idx="75">
                  <c:v>8.460416299229534E-2</c:v>
                </c:pt>
                <c:pt idx="76">
                  <c:v>8.5437266977691273E-2</c:v>
                </c:pt>
                <c:pt idx="77">
                  <c:v>8.6270526049664786E-2</c:v>
                </c:pt>
                <c:pt idx="78">
                  <c:v>8.710394008562794E-2</c:v>
                </c:pt>
                <c:pt idx="79">
                  <c:v>8.793750896318886E-2</c:v>
                </c:pt>
                <c:pt idx="80">
                  <c:v>5.4999999999999938E-2</c:v>
                </c:pt>
                <c:pt idx="81">
                  <c:v>5.4999999999999938E-2</c:v>
                </c:pt>
                <c:pt idx="82">
                  <c:v>5.4999999999999938E-2</c:v>
                </c:pt>
                <c:pt idx="83">
                  <c:v>5.500000000000016E-2</c:v>
                </c:pt>
                <c:pt idx="84">
                  <c:v>5.4999999999999938E-2</c:v>
                </c:pt>
                <c:pt idx="85">
                  <c:v>5.4999999999999938E-2</c:v>
                </c:pt>
                <c:pt idx="86">
                  <c:v>5.4999999999999938E-2</c:v>
                </c:pt>
                <c:pt idx="87">
                  <c:v>5.4999999999999938E-2</c:v>
                </c:pt>
                <c:pt idx="88">
                  <c:v>5.4999999999999938E-2</c:v>
                </c:pt>
                <c:pt idx="89">
                  <c:v>5.500000000000016E-2</c:v>
                </c:pt>
                <c:pt idx="90">
                  <c:v>5.4999999999999938E-2</c:v>
                </c:pt>
                <c:pt idx="91">
                  <c:v>5.4999999999999938E-2</c:v>
                </c:pt>
                <c:pt idx="92">
                  <c:v>5.4999999999999716E-2</c:v>
                </c:pt>
                <c:pt idx="93">
                  <c:v>5.4999999999999938E-2</c:v>
                </c:pt>
                <c:pt idx="94">
                  <c:v>5.4999999999999938E-2</c:v>
                </c:pt>
                <c:pt idx="95">
                  <c:v>5.4999999999999938E-2</c:v>
                </c:pt>
                <c:pt idx="96">
                  <c:v>5.4999999999999938E-2</c:v>
                </c:pt>
                <c:pt idx="97">
                  <c:v>5.4999999999999938E-2</c:v>
                </c:pt>
                <c:pt idx="98">
                  <c:v>5.4999999999999716E-2</c:v>
                </c:pt>
                <c:pt idx="99">
                  <c:v>5.500000000000016E-2</c:v>
                </c:pt>
              </c:numCache>
            </c:numRef>
          </c:val>
          <c:smooth val="0"/>
          <c:extLst>
            <c:ext xmlns:c16="http://schemas.microsoft.com/office/drawing/2014/chart" uri="{C3380CC4-5D6E-409C-BE32-E72D297353CC}">
              <c16:uniqueId val="{00000000-56A7-41BF-896D-CD7A0AFBDC3F}"/>
            </c:ext>
          </c:extLst>
        </c:ser>
        <c:dLbls>
          <c:showLegendKey val="0"/>
          <c:showVal val="0"/>
          <c:showCatName val="0"/>
          <c:showSerName val="0"/>
          <c:showPercent val="0"/>
          <c:showBubbleSize val="0"/>
        </c:dLbls>
        <c:smooth val="0"/>
        <c:axId val="154688336"/>
        <c:axId val="154685200"/>
      </c:lineChart>
      <c:catAx>
        <c:axId val="154688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685200"/>
        <c:crosses val="autoZero"/>
        <c:auto val="1"/>
        <c:lblAlgn val="ctr"/>
        <c:lblOffset val="100"/>
        <c:noMultiLvlLbl val="0"/>
      </c:catAx>
      <c:valAx>
        <c:axId val="15468520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688336"/>
        <c:crosses val="autoZero"/>
        <c:crossBetween val="between"/>
      </c:valAx>
      <c:spPr>
        <a:noFill/>
        <a:ln>
          <a:noFill/>
        </a:ln>
        <a:effectLst/>
      </c:spPr>
    </c:plotArea>
    <c:legend>
      <c:legendPos val="r"/>
      <c:layout>
        <c:manualLayout>
          <c:xMode val="edge"/>
          <c:yMode val="edge"/>
          <c:x val="7.2936625648578002E-2"/>
          <c:y val="4.0483654675883447E-2"/>
          <c:w val="0.87159009485582173"/>
          <c:h val="0.11060288770628804"/>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1416844</xdr:colOff>
      <xdr:row>0</xdr:row>
      <xdr:rowOff>28575</xdr:rowOff>
    </xdr:from>
    <xdr:to>
      <xdr:col>11</xdr:col>
      <xdr:colOff>0</xdr:colOff>
      <xdr:row>14</xdr:row>
      <xdr:rowOff>161925</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85725</xdr:colOff>
      <xdr:row>6</xdr:row>
      <xdr:rowOff>66675</xdr:rowOff>
    </xdr:from>
    <xdr:to>
      <xdr:col>8</xdr:col>
      <xdr:colOff>114300</xdr:colOff>
      <xdr:row>8</xdr:row>
      <xdr:rowOff>85725</xdr:rowOff>
    </xdr:to>
    <xdr:sp macro="" textlink="">
      <xdr:nvSpPr>
        <xdr:cNvPr id="2" name="Right Arrow 1">
          <a:extLst>
            <a:ext uri="{FF2B5EF4-FFF2-40B4-BE49-F238E27FC236}">
              <a16:creationId xmlns:a16="http://schemas.microsoft.com/office/drawing/2014/main" id="{00000000-0008-0000-0300-000002000000}"/>
            </a:ext>
          </a:extLst>
        </xdr:cNvPr>
        <xdr:cNvSpPr/>
      </xdr:nvSpPr>
      <xdr:spPr>
        <a:xfrm>
          <a:off x="4933950" y="1266825"/>
          <a:ext cx="638175" cy="400050"/>
        </a:xfrm>
        <a:prstGeom prst="rightArrow">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19</xdr:col>
      <xdr:colOff>85725</xdr:colOff>
      <xdr:row>6</xdr:row>
      <xdr:rowOff>66675</xdr:rowOff>
    </xdr:from>
    <xdr:to>
      <xdr:col>20</xdr:col>
      <xdr:colOff>114300</xdr:colOff>
      <xdr:row>8</xdr:row>
      <xdr:rowOff>85725</xdr:rowOff>
    </xdr:to>
    <xdr:sp macro="" textlink="">
      <xdr:nvSpPr>
        <xdr:cNvPr id="3" name="Right Arrow 2">
          <a:extLst>
            <a:ext uri="{FF2B5EF4-FFF2-40B4-BE49-F238E27FC236}">
              <a16:creationId xmlns:a16="http://schemas.microsoft.com/office/drawing/2014/main" id="{00000000-0008-0000-0300-000003000000}"/>
            </a:ext>
          </a:extLst>
        </xdr:cNvPr>
        <xdr:cNvSpPr/>
      </xdr:nvSpPr>
      <xdr:spPr>
        <a:xfrm>
          <a:off x="4933950" y="1285875"/>
          <a:ext cx="638175" cy="400050"/>
        </a:xfrm>
        <a:prstGeom prst="rightArrow">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523875</xdr:colOff>
      <xdr:row>0</xdr:row>
      <xdr:rowOff>28576</xdr:rowOff>
    </xdr:from>
    <xdr:to>
      <xdr:col>11</xdr:col>
      <xdr:colOff>0</xdr:colOff>
      <xdr:row>14</xdr:row>
      <xdr:rowOff>131949</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85725</xdr:colOff>
      <xdr:row>6</xdr:row>
      <xdr:rowOff>66675</xdr:rowOff>
    </xdr:from>
    <xdr:to>
      <xdr:col>8</xdr:col>
      <xdr:colOff>114300</xdr:colOff>
      <xdr:row>8</xdr:row>
      <xdr:rowOff>85725</xdr:rowOff>
    </xdr:to>
    <xdr:sp macro="" textlink="">
      <xdr:nvSpPr>
        <xdr:cNvPr id="2" name="Right Arrow 1">
          <a:extLst>
            <a:ext uri="{FF2B5EF4-FFF2-40B4-BE49-F238E27FC236}">
              <a16:creationId xmlns:a16="http://schemas.microsoft.com/office/drawing/2014/main" id="{00000000-0008-0000-0500-000002000000}"/>
            </a:ext>
          </a:extLst>
        </xdr:cNvPr>
        <xdr:cNvSpPr/>
      </xdr:nvSpPr>
      <xdr:spPr>
        <a:xfrm>
          <a:off x="5114925" y="1609725"/>
          <a:ext cx="638175" cy="387350"/>
        </a:xfrm>
        <a:prstGeom prst="rightArrow">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19</xdr:col>
      <xdr:colOff>85725</xdr:colOff>
      <xdr:row>6</xdr:row>
      <xdr:rowOff>66675</xdr:rowOff>
    </xdr:from>
    <xdr:to>
      <xdr:col>20</xdr:col>
      <xdr:colOff>114300</xdr:colOff>
      <xdr:row>8</xdr:row>
      <xdr:rowOff>85725</xdr:rowOff>
    </xdr:to>
    <xdr:sp macro="" textlink="">
      <xdr:nvSpPr>
        <xdr:cNvPr id="3" name="Right Arrow 2">
          <a:extLst>
            <a:ext uri="{FF2B5EF4-FFF2-40B4-BE49-F238E27FC236}">
              <a16:creationId xmlns:a16="http://schemas.microsoft.com/office/drawing/2014/main" id="{00000000-0008-0000-0500-000003000000}"/>
            </a:ext>
          </a:extLst>
        </xdr:cNvPr>
        <xdr:cNvSpPr/>
      </xdr:nvSpPr>
      <xdr:spPr>
        <a:xfrm>
          <a:off x="13312775" y="1609725"/>
          <a:ext cx="638175" cy="387350"/>
        </a:xfrm>
        <a:prstGeom prst="rightArrow">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7</xdr:col>
      <xdr:colOff>85725</xdr:colOff>
      <xdr:row>6</xdr:row>
      <xdr:rowOff>66675</xdr:rowOff>
    </xdr:from>
    <xdr:to>
      <xdr:col>8</xdr:col>
      <xdr:colOff>114300</xdr:colOff>
      <xdr:row>8</xdr:row>
      <xdr:rowOff>85725</xdr:rowOff>
    </xdr:to>
    <xdr:sp macro="" textlink="">
      <xdr:nvSpPr>
        <xdr:cNvPr id="4" name="Right Arrow 3">
          <a:extLst>
            <a:ext uri="{FF2B5EF4-FFF2-40B4-BE49-F238E27FC236}">
              <a16:creationId xmlns:a16="http://schemas.microsoft.com/office/drawing/2014/main" id="{00000000-0008-0000-0500-000004000000}"/>
            </a:ext>
          </a:extLst>
        </xdr:cNvPr>
        <xdr:cNvSpPr/>
      </xdr:nvSpPr>
      <xdr:spPr>
        <a:xfrm>
          <a:off x="4708525" y="1609725"/>
          <a:ext cx="638175" cy="387350"/>
        </a:xfrm>
        <a:prstGeom prst="rightArrow">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19</xdr:col>
      <xdr:colOff>85725</xdr:colOff>
      <xdr:row>6</xdr:row>
      <xdr:rowOff>66675</xdr:rowOff>
    </xdr:from>
    <xdr:to>
      <xdr:col>20</xdr:col>
      <xdr:colOff>114300</xdr:colOff>
      <xdr:row>8</xdr:row>
      <xdr:rowOff>85725</xdr:rowOff>
    </xdr:to>
    <xdr:sp macro="" textlink="">
      <xdr:nvSpPr>
        <xdr:cNvPr id="5" name="Right Arrow 4">
          <a:extLst>
            <a:ext uri="{FF2B5EF4-FFF2-40B4-BE49-F238E27FC236}">
              <a16:creationId xmlns:a16="http://schemas.microsoft.com/office/drawing/2014/main" id="{00000000-0008-0000-0500-000005000000}"/>
            </a:ext>
          </a:extLst>
        </xdr:cNvPr>
        <xdr:cNvSpPr/>
      </xdr:nvSpPr>
      <xdr:spPr>
        <a:xfrm>
          <a:off x="11864975" y="1609725"/>
          <a:ext cx="638175" cy="387350"/>
        </a:xfrm>
        <a:prstGeom prst="rightArrow">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976313</xdr:colOff>
      <xdr:row>1</xdr:row>
      <xdr:rowOff>59531</xdr:rowOff>
    </xdr:from>
    <xdr:to>
      <xdr:col>13</xdr:col>
      <xdr:colOff>35719</xdr:colOff>
      <xdr:row>14</xdr:row>
      <xdr:rowOff>83343</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85725</xdr:colOff>
      <xdr:row>6</xdr:row>
      <xdr:rowOff>66675</xdr:rowOff>
    </xdr:from>
    <xdr:to>
      <xdr:col>8</xdr:col>
      <xdr:colOff>114300</xdr:colOff>
      <xdr:row>8</xdr:row>
      <xdr:rowOff>85725</xdr:rowOff>
    </xdr:to>
    <xdr:sp macro="" textlink="">
      <xdr:nvSpPr>
        <xdr:cNvPr id="2" name="Right Arrow 1">
          <a:extLst>
            <a:ext uri="{FF2B5EF4-FFF2-40B4-BE49-F238E27FC236}">
              <a16:creationId xmlns:a16="http://schemas.microsoft.com/office/drawing/2014/main" id="{00000000-0008-0000-0700-000002000000}"/>
            </a:ext>
          </a:extLst>
        </xdr:cNvPr>
        <xdr:cNvSpPr/>
      </xdr:nvSpPr>
      <xdr:spPr>
        <a:xfrm>
          <a:off x="4708525" y="1609725"/>
          <a:ext cx="638175" cy="387350"/>
        </a:xfrm>
        <a:prstGeom prst="rightArrow">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19</xdr:col>
      <xdr:colOff>85725</xdr:colOff>
      <xdr:row>6</xdr:row>
      <xdr:rowOff>66675</xdr:rowOff>
    </xdr:from>
    <xdr:to>
      <xdr:col>20</xdr:col>
      <xdr:colOff>114300</xdr:colOff>
      <xdr:row>8</xdr:row>
      <xdr:rowOff>85725</xdr:rowOff>
    </xdr:to>
    <xdr:sp macro="" textlink="">
      <xdr:nvSpPr>
        <xdr:cNvPr id="3" name="Right Arrow 2">
          <a:extLst>
            <a:ext uri="{FF2B5EF4-FFF2-40B4-BE49-F238E27FC236}">
              <a16:creationId xmlns:a16="http://schemas.microsoft.com/office/drawing/2014/main" id="{00000000-0008-0000-0700-000003000000}"/>
            </a:ext>
          </a:extLst>
        </xdr:cNvPr>
        <xdr:cNvSpPr/>
      </xdr:nvSpPr>
      <xdr:spPr>
        <a:xfrm>
          <a:off x="11864975" y="1609725"/>
          <a:ext cx="638175" cy="387350"/>
        </a:xfrm>
        <a:prstGeom prst="rightArrow">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
  <sheetViews>
    <sheetView showGridLines="0" view="pageLayout" zoomScaleNormal="90" workbookViewId="0">
      <selection activeCell="G3" sqref="G3"/>
    </sheetView>
  </sheetViews>
  <sheetFormatPr defaultColWidth="9.21875" defaultRowHeight="14.4" x14ac:dyDescent="0.3"/>
  <cols>
    <col min="1" max="1" width="130.5546875" customWidth="1"/>
  </cols>
  <sheetData>
    <row r="1" spans="1:4" ht="31.8" thickTop="1" x14ac:dyDescent="0.3">
      <c r="A1" s="144" t="s">
        <v>59</v>
      </c>
    </row>
    <row r="2" spans="1:4" ht="11.25" customHeight="1" x14ac:dyDescent="0.3">
      <c r="A2" s="67"/>
    </row>
    <row r="3" spans="1:4" ht="189.6" customHeight="1" x14ac:dyDescent="0.3">
      <c r="A3" s="141" t="s">
        <v>60</v>
      </c>
    </row>
    <row r="4" spans="1:4" ht="10.5" customHeight="1" x14ac:dyDescent="0.3">
      <c r="A4" s="69"/>
      <c r="B4" s="78"/>
      <c r="C4" s="78"/>
      <c r="D4" s="78"/>
    </row>
    <row r="5" spans="1:4" ht="216" customHeight="1" x14ac:dyDescent="0.3">
      <c r="A5" s="68" t="s">
        <v>5</v>
      </c>
    </row>
    <row r="6" spans="1:4" ht="10.5" customHeight="1" x14ac:dyDescent="0.3">
      <c r="A6" s="70"/>
    </row>
    <row r="7" spans="1:4" ht="188.7" customHeight="1" x14ac:dyDescent="0.3">
      <c r="A7" s="141" t="s">
        <v>56</v>
      </c>
    </row>
    <row r="8" spans="1:4" ht="109.5" customHeight="1" x14ac:dyDescent="0.3">
      <c r="A8" s="142" t="s">
        <v>57</v>
      </c>
    </row>
    <row r="9" spans="1:4" ht="132.6" customHeight="1" thickBot="1" x14ac:dyDescent="0.35">
      <c r="A9" s="143" t="s">
        <v>58</v>
      </c>
    </row>
    <row r="10" spans="1:4" ht="15" thickTop="1" x14ac:dyDescent="0.3"/>
  </sheetData>
  <sheetProtection sheet="1" objects="1" scenarios="1"/>
  <pageMargins left="0.7" right="0.7" top="0.75"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4"/>
  <sheetViews>
    <sheetView showGridLines="0" view="pageLayout" zoomScaleNormal="85" workbookViewId="0">
      <selection activeCell="E1" sqref="E1"/>
    </sheetView>
  </sheetViews>
  <sheetFormatPr defaultColWidth="9.21875" defaultRowHeight="14.4" x14ac:dyDescent="0.3"/>
  <cols>
    <col min="2" max="2" width="17.44140625" customWidth="1"/>
    <col min="3" max="3" width="15.21875" customWidth="1"/>
    <col min="4" max="4" width="2.77734375" customWidth="1"/>
    <col min="5" max="5" width="16.21875" customWidth="1"/>
    <col min="6" max="6" width="19.77734375" customWidth="1"/>
    <col min="7" max="7" width="20" customWidth="1"/>
    <col min="8" max="9" width="17.21875" customWidth="1"/>
    <col min="10" max="10" width="11.21875" customWidth="1"/>
    <col min="11" max="11" width="2.5546875" customWidth="1"/>
    <col min="12" max="12" width="2.77734375" customWidth="1"/>
  </cols>
  <sheetData>
    <row r="1" spans="1:16" ht="18" x14ac:dyDescent="0.35">
      <c r="A1" s="2" t="s">
        <v>6</v>
      </c>
    </row>
    <row r="2" spans="1:16" ht="15.6" hidden="1" x14ac:dyDescent="0.3">
      <c r="M2" s="44"/>
      <c r="N2" s="44"/>
      <c r="O2" s="44"/>
      <c r="P2" s="44"/>
    </row>
    <row r="3" spans="1:16" hidden="1" x14ac:dyDescent="0.3">
      <c r="B3" s="1"/>
    </row>
    <row r="4" spans="1:16" hidden="1" x14ac:dyDescent="0.3"/>
    <row r="5" spans="1:16" hidden="1" x14ac:dyDescent="0.3"/>
    <row r="6" spans="1:16" hidden="1" x14ac:dyDescent="0.3"/>
    <row r="7" spans="1:16" hidden="1" x14ac:dyDescent="0.3"/>
    <row r="8" spans="1:16" hidden="1" x14ac:dyDescent="0.3"/>
    <row r="9" spans="1:16" hidden="1" x14ac:dyDescent="0.3"/>
    <row r="10" spans="1:16" hidden="1" x14ac:dyDescent="0.3"/>
    <row r="11" spans="1:16" hidden="1" x14ac:dyDescent="0.3">
      <c r="A11" t="s">
        <v>4</v>
      </c>
      <c r="B11" s="50"/>
    </row>
    <row r="12" spans="1:16" hidden="1" x14ac:dyDescent="0.3"/>
    <row r="13" spans="1:16" hidden="1" x14ac:dyDescent="0.3"/>
    <row r="14" spans="1:16" hidden="1" x14ac:dyDescent="0.3"/>
    <row r="16" spans="1:16" x14ac:dyDescent="0.3">
      <c r="B16" s="147" t="s">
        <v>21</v>
      </c>
      <c r="C16" s="148"/>
      <c r="E16" s="17"/>
      <c r="F16" s="84"/>
      <c r="G16" s="84"/>
      <c r="H16" s="84"/>
      <c r="I16" s="84"/>
    </row>
    <row r="17" spans="2:10" x14ac:dyDescent="0.3">
      <c r="B17" s="85" t="s">
        <v>7</v>
      </c>
      <c r="C17" s="86" t="s">
        <v>12</v>
      </c>
      <c r="E17" s="149" t="s">
        <v>9</v>
      </c>
      <c r="F17" s="150"/>
      <c r="G17" s="151"/>
      <c r="H17" s="84"/>
      <c r="I17" s="84"/>
    </row>
    <row r="18" spans="2:10" x14ac:dyDescent="0.3">
      <c r="B18" s="71">
        <v>0.5</v>
      </c>
      <c r="C18" s="119">
        <v>4.2599999999999999E-3</v>
      </c>
      <c r="E18" s="85" t="s">
        <v>7</v>
      </c>
      <c r="F18" s="75" t="s">
        <v>10</v>
      </c>
      <c r="G18" s="76" t="s">
        <v>11</v>
      </c>
      <c r="H18" s="77"/>
      <c r="I18" s="78"/>
    </row>
    <row r="19" spans="2:10" x14ac:dyDescent="0.3">
      <c r="B19" s="72">
        <v>1</v>
      </c>
      <c r="C19" s="120">
        <v>4.2599999999999999E-3</v>
      </c>
      <c r="E19" s="71">
        <v>1</v>
      </c>
      <c r="F19" s="122">
        <v>3.2500000000000003E-3</v>
      </c>
      <c r="G19" s="123">
        <v>2.1970000000000003E-2</v>
      </c>
      <c r="H19" s="79"/>
      <c r="I19" s="80"/>
      <c r="J19" s="28"/>
    </row>
    <row r="20" spans="2:10" x14ac:dyDescent="0.3">
      <c r="B20" s="72">
        <v>2</v>
      </c>
      <c r="C20" s="120">
        <v>4.5599999999999998E-3</v>
      </c>
      <c r="E20" s="72">
        <v>2</v>
      </c>
      <c r="F20" s="124">
        <v>4.4299999999999999E-3</v>
      </c>
      <c r="G20" s="125">
        <v>2.2435000000000004E-2</v>
      </c>
      <c r="H20" s="79"/>
      <c r="I20" s="80"/>
      <c r="J20" s="28"/>
    </row>
    <row r="21" spans="2:10" x14ac:dyDescent="0.3">
      <c r="B21" s="72">
        <v>3</v>
      </c>
      <c r="C21" s="120">
        <v>5.13E-3</v>
      </c>
      <c r="E21" s="72">
        <v>3</v>
      </c>
      <c r="F21" s="124">
        <v>5.6800000000000002E-3</v>
      </c>
      <c r="G21" s="125">
        <v>2.274E-2</v>
      </c>
      <c r="H21" s="79"/>
      <c r="I21" s="80"/>
      <c r="J21" s="28"/>
    </row>
    <row r="22" spans="2:10" x14ac:dyDescent="0.3">
      <c r="B22" s="72">
        <v>4</v>
      </c>
      <c r="C22" s="120">
        <v>5.8299999999999992E-3</v>
      </c>
      <c r="E22" s="72">
        <v>4</v>
      </c>
      <c r="F22" s="124">
        <v>7.150000000000001E-3</v>
      </c>
      <c r="G22" s="125">
        <v>2.2875E-2</v>
      </c>
      <c r="H22" s="79"/>
      <c r="I22" s="80"/>
      <c r="J22" s="28"/>
    </row>
    <row r="23" spans="2:10" x14ac:dyDescent="0.3">
      <c r="B23" s="72">
        <v>5</v>
      </c>
      <c r="C23" s="120">
        <v>6.1399999999999996E-3</v>
      </c>
      <c r="E23" s="72">
        <v>5</v>
      </c>
      <c r="F23" s="124">
        <v>8.2799999999999992E-3</v>
      </c>
      <c r="G23" s="125">
        <v>2.3229999999999997E-2</v>
      </c>
      <c r="H23" s="79"/>
      <c r="I23" s="80"/>
      <c r="J23" s="28"/>
    </row>
    <row r="24" spans="2:10" x14ac:dyDescent="0.3">
      <c r="B24" s="72">
        <v>7</v>
      </c>
      <c r="C24" s="120">
        <v>6.6700000000000006E-3</v>
      </c>
      <c r="E24" s="72">
        <v>7</v>
      </c>
      <c r="F24" s="124">
        <v>1.0480000000000001E-2</v>
      </c>
      <c r="G24" s="125">
        <v>2.4524999999999998E-2</v>
      </c>
      <c r="H24" s="79"/>
      <c r="I24" s="80"/>
      <c r="J24" s="28"/>
    </row>
    <row r="25" spans="2:10" x14ac:dyDescent="0.3">
      <c r="B25" s="72">
        <v>8</v>
      </c>
      <c r="C25" s="120">
        <v>6.7400000000000003E-3</v>
      </c>
      <c r="E25" s="72">
        <v>8</v>
      </c>
      <c r="F25" s="124">
        <v>1.1269999999999999E-2</v>
      </c>
      <c r="G25" s="125">
        <v>2.5144999999999997E-2</v>
      </c>
      <c r="H25" s="79"/>
      <c r="I25" s="80"/>
      <c r="J25" s="28"/>
    </row>
    <row r="26" spans="2:10" x14ac:dyDescent="0.3">
      <c r="B26" s="72">
        <v>9</v>
      </c>
      <c r="C26" s="120">
        <v>7.2199999999999999E-3</v>
      </c>
      <c r="E26" s="72">
        <v>9</v>
      </c>
      <c r="F26" s="124">
        <v>1.1799999999999998E-2</v>
      </c>
      <c r="G26" s="125">
        <v>2.5444999999999999E-2</v>
      </c>
      <c r="H26" s="79"/>
      <c r="I26" s="80"/>
      <c r="J26" s="28"/>
    </row>
    <row r="27" spans="2:10" x14ac:dyDescent="0.3">
      <c r="B27" s="72">
        <v>10</v>
      </c>
      <c r="C27" s="120">
        <v>7.7499999999999999E-3</v>
      </c>
      <c r="E27" s="72">
        <v>10</v>
      </c>
      <c r="F27" s="124">
        <v>1.2129999999999998E-2</v>
      </c>
      <c r="G27" s="125">
        <v>2.5590000000000002E-2</v>
      </c>
      <c r="H27" s="79"/>
      <c r="I27" s="80"/>
      <c r="J27" s="28"/>
    </row>
    <row r="28" spans="2:10" x14ac:dyDescent="0.3">
      <c r="B28" s="72">
        <v>15</v>
      </c>
      <c r="C28" s="120">
        <v>1.102E-2</v>
      </c>
      <c r="E28" s="72">
        <v>15</v>
      </c>
      <c r="F28" s="124">
        <v>1.3689999999999999E-2</v>
      </c>
      <c r="G28" s="125">
        <v>2.6125000000000002E-2</v>
      </c>
      <c r="H28" s="79"/>
      <c r="I28" s="80"/>
      <c r="J28" s="28"/>
    </row>
    <row r="29" spans="2:10" x14ac:dyDescent="0.3">
      <c r="B29" s="72">
        <v>20</v>
      </c>
      <c r="C29" s="120">
        <v>1.294E-2</v>
      </c>
      <c r="E29" s="72">
        <v>20</v>
      </c>
      <c r="F29" s="124">
        <v>1.4089999999999998E-2</v>
      </c>
      <c r="G29" s="125">
        <v>2.64E-2</v>
      </c>
      <c r="H29" s="79"/>
      <c r="I29" s="80"/>
      <c r="J29" s="28"/>
    </row>
    <row r="30" spans="2:10" x14ac:dyDescent="0.3">
      <c r="B30" s="72">
        <v>25</v>
      </c>
      <c r="C30" s="120">
        <v>1.3480000000000001E-2</v>
      </c>
      <c r="E30" s="72">
        <v>25</v>
      </c>
      <c r="F30" s="124">
        <v>1.4130000000000002E-2</v>
      </c>
      <c r="G30" s="125">
        <v>2.6734999999999995E-2</v>
      </c>
      <c r="H30" s="79"/>
      <c r="I30" s="80"/>
      <c r="J30" s="28"/>
    </row>
    <row r="31" spans="2:10" x14ac:dyDescent="0.3">
      <c r="B31" s="73">
        <v>30</v>
      </c>
      <c r="C31" s="121">
        <v>1.333E-2</v>
      </c>
      <c r="E31" s="73">
        <v>30</v>
      </c>
      <c r="F31" s="126">
        <v>1.427E-2</v>
      </c>
      <c r="G31" s="127">
        <v>2.7145000000000002E-2</v>
      </c>
      <c r="H31" s="79"/>
      <c r="I31" s="80"/>
      <c r="J31" s="28"/>
    </row>
    <row r="32" spans="2:10" x14ac:dyDescent="0.3">
      <c r="B32" s="133" t="s">
        <v>8</v>
      </c>
    </row>
    <row r="34" spans="3:3" x14ac:dyDescent="0.3">
      <c r="C34" s="128"/>
    </row>
  </sheetData>
  <sheetProtection sheet="1" objects="1" scenarios="1"/>
  <mergeCells count="2">
    <mergeCell ref="B16:C16"/>
    <mergeCell ref="E17:G17"/>
  </mergeCells>
  <pageMargins left="0.7" right="0.7" top="0.75" bottom="0.75" header="0.3" footer="0.3"/>
  <pageSetup orientation="portrait" r:id="rId1"/>
  <headerFooter>
    <oddHeader>&amp;C&amp;G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V103"/>
  <sheetViews>
    <sheetView showGridLines="0" view="pageLayout" zoomScaleNormal="80" workbookViewId="0">
      <selection activeCell="C3" sqref="C3"/>
    </sheetView>
  </sheetViews>
  <sheetFormatPr defaultColWidth="9.21875" defaultRowHeight="14.4" x14ac:dyDescent="0.3"/>
  <cols>
    <col min="2" max="2" width="45.44140625" customWidth="1"/>
    <col min="3" max="3" width="19.5546875" customWidth="1"/>
    <col min="4" max="4" width="2.77734375" customWidth="1"/>
    <col min="5" max="5" width="17.77734375" bestFit="1" customWidth="1"/>
    <col min="6" max="6" width="16.21875" customWidth="1"/>
    <col min="7" max="10" width="17.21875" customWidth="1"/>
    <col min="11" max="11" width="11.21875" customWidth="1"/>
    <col min="12" max="12" width="3.21875" customWidth="1"/>
    <col min="13" max="13" width="1.77734375" customWidth="1"/>
    <col min="14" max="14" width="6.109375" customWidth="1"/>
    <col min="15" max="15" width="14" bestFit="1" customWidth="1"/>
    <col min="17" max="17" width="12.109375" customWidth="1"/>
    <col min="19" max="19" width="12.21875" customWidth="1"/>
    <col min="20" max="20" width="16.44140625" customWidth="1"/>
    <col min="22" max="22" width="22.21875" customWidth="1"/>
  </cols>
  <sheetData>
    <row r="1" spans="1:22" ht="18" x14ac:dyDescent="0.35">
      <c r="A1" s="2"/>
      <c r="B1" s="136"/>
      <c r="N1" s="2" t="s">
        <v>24</v>
      </c>
    </row>
    <row r="2" spans="1:22" ht="15.6" x14ac:dyDescent="0.3">
      <c r="N2" s="90" t="s">
        <v>66</v>
      </c>
      <c r="O2" s="44"/>
      <c r="P2" s="44"/>
      <c r="Q2" s="44"/>
      <c r="R2" s="44"/>
      <c r="S2" s="44"/>
    </row>
    <row r="3" spans="1:22" ht="58.2" thickBot="1" x14ac:dyDescent="0.35">
      <c r="B3" s="1" t="s">
        <v>13</v>
      </c>
      <c r="C3" s="136"/>
      <c r="N3" s="39" t="s">
        <v>25</v>
      </c>
      <c r="O3" s="40" t="s">
        <v>26</v>
      </c>
      <c r="P3" s="40" t="s">
        <v>27</v>
      </c>
      <c r="Q3" s="40" t="s">
        <v>28</v>
      </c>
      <c r="R3" s="40" t="s">
        <v>29</v>
      </c>
      <c r="S3" s="40" t="str">
        <f>"  Courbe de référence illiquide au comptant"</f>
        <v xml:space="preserve">  Courbe de référence illiquide au comptant</v>
      </c>
      <c r="T3" s="40" t="s">
        <v>30</v>
      </c>
      <c r="V3" s="136"/>
    </row>
    <row r="4" spans="1:22" x14ac:dyDescent="0.3">
      <c r="B4" s="87" t="s">
        <v>14</v>
      </c>
      <c r="C4" s="66" t="s">
        <v>31</v>
      </c>
      <c r="N4">
        <v>1</v>
      </c>
      <c r="O4" s="36">
        <f t="array" aca="1" ref="O4:O33" ca="1">OFFSET('Méthode bootstrap illiquide'!J5,0,IF(interest_type="Au comptant",0,1),30,1)</f>
        <v>4.2645368999998379E-3</v>
      </c>
      <c r="P4" s="36">
        <f t="array" aca="1" ref="P4:P33" ca="1">OFFSET('Méthode bootstrap illiquide'!Y5,0,IF(interest_type="Au comptant",0,1),30,1)*liq_spread_ratio</f>
        <v>1.6603099743750183E-2</v>
      </c>
      <c r="Q4" s="36">
        <f t="shared" ref="Q4:Q33" si="0">liq_prem_add</f>
        <v>5.0000000000000001E-3</v>
      </c>
      <c r="R4" s="37">
        <f t="shared" ref="R4:R33" ca="1" si="1">P4+Q4</f>
        <v>2.1603099743750184E-2</v>
      </c>
      <c r="S4" s="41">
        <f ca="1">O4+R4</f>
        <v>2.5867636643750021E-2</v>
      </c>
      <c r="T4" s="110">
        <f ca="1">S4</f>
        <v>2.5867636643750021E-2</v>
      </c>
    </row>
    <row r="5" spans="1:22" x14ac:dyDescent="0.3">
      <c r="B5" s="88" t="s">
        <v>15</v>
      </c>
      <c r="C5" s="47">
        <v>30</v>
      </c>
      <c r="N5">
        <v>2</v>
      </c>
      <c r="O5" s="36">
        <f ca="1"/>
        <v>4.5659707931942073E-3</v>
      </c>
      <c r="P5" s="36">
        <f ca="1"/>
        <v>1.6967309789818141E-2</v>
      </c>
      <c r="Q5" s="36">
        <f t="shared" si="0"/>
        <v>5.0000000000000001E-3</v>
      </c>
      <c r="R5" s="37">
        <f t="shared" ca="1" si="1"/>
        <v>2.1967309789818142E-2</v>
      </c>
      <c r="S5" s="41">
        <f t="shared" ref="S5:S68" ca="1" si="2">O5+R5</f>
        <v>2.653328058301235E-2</v>
      </c>
      <c r="T5" s="110">
        <f t="shared" ref="T5:T33" ca="1" si="3">((1+S5)^N5)/((1+S4)^N4)-1</f>
        <v>2.7199356431653721E-2</v>
      </c>
    </row>
    <row r="6" spans="1:22" x14ac:dyDescent="0.3">
      <c r="B6" s="88" t="s">
        <v>42</v>
      </c>
      <c r="C6" s="46">
        <v>0.04</v>
      </c>
      <c r="N6">
        <v>3</v>
      </c>
      <c r="O6" s="36">
        <f ca="1"/>
        <v>5.1402246110214822E-3</v>
      </c>
      <c r="P6" s="36">
        <f ca="1"/>
        <v>1.7218775896861716E-2</v>
      </c>
      <c r="Q6" s="36">
        <f t="shared" si="0"/>
        <v>5.0000000000000001E-3</v>
      </c>
      <c r="R6" s="37">
        <f t="shared" ca="1" si="1"/>
        <v>2.2218775896861716E-2</v>
      </c>
      <c r="S6" s="41">
        <f t="shared" ca="1" si="2"/>
        <v>2.7359000507883199E-2</v>
      </c>
      <c r="T6" s="110">
        <f t="shared" ca="1" si="3"/>
        <v>2.9012433462628717E-2</v>
      </c>
    </row>
    <row r="7" spans="1:22" x14ac:dyDescent="0.3">
      <c r="B7" s="145" t="s">
        <v>65</v>
      </c>
      <c r="C7" s="47">
        <v>70</v>
      </c>
      <c r="N7">
        <v>4</v>
      </c>
      <c r="O7" s="36">
        <f ca="1"/>
        <v>5.8479211722266555E-3</v>
      </c>
      <c r="P7" s="36">
        <f ca="1"/>
        <v>1.7346026529988068E-2</v>
      </c>
      <c r="Q7" s="36">
        <f t="shared" si="0"/>
        <v>5.0000000000000001E-3</v>
      </c>
      <c r="R7" s="37">
        <f t="shared" ca="1" si="1"/>
        <v>2.2346026529988069E-2</v>
      </c>
      <c r="S7" s="41">
        <f t="shared" ca="1" si="2"/>
        <v>2.8193947702214724E-2</v>
      </c>
      <c r="T7" s="110">
        <f t="shared" ca="1" si="3"/>
        <v>3.0702862922222574E-2</v>
      </c>
    </row>
    <row r="8" spans="1:22" x14ac:dyDescent="0.3">
      <c r="B8" s="14" t="s">
        <v>16</v>
      </c>
      <c r="C8" s="48">
        <v>0.75</v>
      </c>
      <c r="N8">
        <v>5</v>
      </c>
      <c r="O8" s="36">
        <f ca="1"/>
        <v>6.1612764103673445E-3</v>
      </c>
      <c r="P8" s="36">
        <f ca="1"/>
        <v>1.7639584935517871E-2</v>
      </c>
      <c r="Q8" s="36">
        <f t="shared" si="0"/>
        <v>5.0000000000000001E-3</v>
      </c>
      <c r="R8" s="37">
        <f t="shared" ca="1" si="1"/>
        <v>2.2639584935517872E-2</v>
      </c>
      <c r="S8" s="41">
        <f t="shared" ca="1" si="2"/>
        <v>2.8800861345885217E-2</v>
      </c>
      <c r="T8" s="110">
        <f t="shared" ca="1" si="3"/>
        <v>3.1232100474425151E-2</v>
      </c>
    </row>
    <row r="9" spans="1:22" x14ac:dyDescent="0.3">
      <c r="B9" s="14" t="s">
        <v>17</v>
      </c>
      <c r="C9" s="49">
        <v>5.0000000000000001E-3</v>
      </c>
      <c r="N9">
        <v>6</v>
      </c>
      <c r="O9" s="36">
        <f ca="1"/>
        <v>6.4299147069000195E-3</v>
      </c>
      <c r="P9" s="36">
        <f ca="1"/>
        <v>1.8178816409531395E-2</v>
      </c>
      <c r="Q9" s="36">
        <f t="shared" si="0"/>
        <v>5.0000000000000001E-3</v>
      </c>
      <c r="R9" s="37">
        <f t="shared" ca="1" si="1"/>
        <v>2.3178816409531396E-2</v>
      </c>
      <c r="S9" s="41">
        <f t="shared" ca="1" si="2"/>
        <v>2.9608731116431416E-2</v>
      </c>
      <c r="T9" s="110">
        <f t="shared" ca="1" si="3"/>
        <v>3.3657605679990432E-2</v>
      </c>
    </row>
    <row r="10" spans="1:22" x14ac:dyDescent="0.3">
      <c r="B10" s="105" t="s">
        <v>18</v>
      </c>
      <c r="C10" s="49">
        <v>1.4999999999999999E-2</v>
      </c>
      <c r="N10">
        <v>7</v>
      </c>
      <c r="O10" s="36">
        <f ca="1"/>
        <v>6.6996571431408025E-3</v>
      </c>
      <c r="P10" s="36">
        <f ca="1"/>
        <v>1.8728112252167417E-2</v>
      </c>
      <c r="Q10" s="36">
        <f t="shared" si="0"/>
        <v>5.0000000000000001E-3</v>
      </c>
      <c r="R10" s="37">
        <f t="shared" ca="1" si="1"/>
        <v>2.3728112252167418E-2</v>
      </c>
      <c r="S10" s="41">
        <f t="shared" ca="1" si="2"/>
        <v>3.0427769395308221E-2</v>
      </c>
      <c r="T10" s="110">
        <f t="shared" ca="1" si="3"/>
        <v>3.5355699408553543E-2</v>
      </c>
    </row>
    <row r="11" spans="1:22" ht="15" thickBot="1" x14ac:dyDescent="0.35">
      <c r="A11" t="s">
        <v>4</v>
      </c>
      <c r="B11" s="15" t="s">
        <v>19</v>
      </c>
      <c r="C11" s="107" t="s">
        <v>62</v>
      </c>
      <c r="N11">
        <v>8</v>
      </c>
      <c r="O11" s="36">
        <f ca="1"/>
        <v>6.76944500168708E-3</v>
      </c>
      <c r="P11" s="36">
        <f ca="1"/>
        <v>1.9247559695088401E-2</v>
      </c>
      <c r="Q11" s="36">
        <f t="shared" si="0"/>
        <v>5.0000000000000001E-3</v>
      </c>
      <c r="R11" s="37">
        <f t="shared" ca="1" si="1"/>
        <v>2.4247559695088402E-2</v>
      </c>
      <c r="S11" s="41">
        <f t="shared" ca="1" si="2"/>
        <v>3.1017004696775482E-2</v>
      </c>
      <c r="T11" s="110">
        <f t="shared" ca="1" si="3"/>
        <v>3.5151097085242222E-2</v>
      </c>
    </row>
    <row r="12" spans="1:22" x14ac:dyDescent="0.3">
      <c r="B12" s="42" t="s">
        <v>20</v>
      </c>
      <c r="N12">
        <v>9</v>
      </c>
      <c r="O12" s="36">
        <f ca="1"/>
        <v>7.2645813018876737E-3</v>
      </c>
      <c r="P12" s="36">
        <f ca="1"/>
        <v>1.9537817156823067E-2</v>
      </c>
      <c r="Q12" s="36">
        <f t="shared" si="0"/>
        <v>5.0000000000000001E-3</v>
      </c>
      <c r="R12" s="37">
        <f t="shared" ca="1" si="1"/>
        <v>2.4537817156823068E-2</v>
      </c>
      <c r="S12" s="41">
        <f t="shared" ca="1" si="2"/>
        <v>3.1802398458710746E-2</v>
      </c>
      <c r="T12" s="110">
        <f t="shared" ca="1" si="3"/>
        <v>3.8107125188554969E-2</v>
      </c>
    </row>
    <row r="13" spans="1:22" x14ac:dyDescent="0.3">
      <c r="N13">
        <v>10</v>
      </c>
      <c r="O13" s="36">
        <f ca="1"/>
        <v>7.8147374224597499E-3</v>
      </c>
      <c r="P13" s="36">
        <f ca="1"/>
        <v>1.9704304879299195E-2</v>
      </c>
      <c r="Q13" s="36">
        <f t="shared" si="0"/>
        <v>5.0000000000000001E-3</v>
      </c>
      <c r="R13" s="37">
        <f t="shared" ca="1" si="1"/>
        <v>2.4704304879299196E-2</v>
      </c>
      <c r="S13" s="41">
        <f t="shared" ca="1" si="2"/>
        <v>3.2519042301758949E-2</v>
      </c>
      <c r="T13" s="110">
        <f t="shared" ca="1" si="3"/>
        <v>3.8991277121003476E-2</v>
      </c>
    </row>
    <row r="14" spans="1:22" x14ac:dyDescent="0.3">
      <c r="N14">
        <v>11</v>
      </c>
      <c r="O14" s="36">
        <f ca="1"/>
        <v>8.4995556160289976E-3</v>
      </c>
      <c r="P14" s="36">
        <f ca="1"/>
        <v>1.9861259812601118E-2</v>
      </c>
      <c r="Q14" s="36">
        <f t="shared" si="0"/>
        <v>5.0000000000000001E-3</v>
      </c>
      <c r="R14" s="37">
        <f t="shared" ca="1" si="1"/>
        <v>2.4861259812601118E-2</v>
      </c>
      <c r="S14" s="41">
        <f t="shared" ca="1" si="2"/>
        <v>3.336081542863012E-2</v>
      </c>
      <c r="T14" s="110">
        <f t="shared" ca="1" si="3"/>
        <v>4.1816383755045594E-2</v>
      </c>
    </row>
    <row r="15" spans="1:22" ht="15" thickBot="1" x14ac:dyDescent="0.35">
      <c r="B15" s="1" t="s">
        <v>21</v>
      </c>
      <c r="N15">
        <v>12</v>
      </c>
      <c r="O15" s="36">
        <f ca="1"/>
        <v>9.1901077640226259E-3</v>
      </c>
      <c r="P15" s="36">
        <f ca="1"/>
        <v>2.0028233154486097E-2</v>
      </c>
      <c r="Q15" s="36">
        <f t="shared" si="0"/>
        <v>5.0000000000000001E-3</v>
      </c>
      <c r="R15" s="37">
        <f t="shared" ca="1" si="1"/>
        <v>2.5028233154486098E-2</v>
      </c>
      <c r="S15" s="41">
        <f t="shared" ca="1" si="2"/>
        <v>3.4218340918508727E-2</v>
      </c>
      <c r="T15" s="110">
        <f t="shared" ca="1" si="3"/>
        <v>4.3698217730070876E-2</v>
      </c>
    </row>
    <row r="16" spans="1:22" ht="15" thickBot="1" x14ac:dyDescent="0.35">
      <c r="B16" s="91" t="s">
        <v>7</v>
      </c>
      <c r="C16" s="92" t="s">
        <v>12</v>
      </c>
      <c r="D16" s="93"/>
      <c r="E16" s="92" t="s">
        <v>9</v>
      </c>
      <c r="F16" s="29" t="s">
        <v>22</v>
      </c>
      <c r="G16" s="83">
        <v>0</v>
      </c>
      <c r="H16" s="45">
        <v>1</v>
      </c>
      <c r="I16" s="81">
        <v>0</v>
      </c>
      <c r="J16" s="81">
        <v>0</v>
      </c>
      <c r="K16" s="27">
        <f>SUM(G16:J16)</f>
        <v>1</v>
      </c>
      <c r="N16">
        <v>13</v>
      </c>
      <c r="O16" s="36">
        <f ca="1"/>
        <v>9.8870364705685443E-3</v>
      </c>
      <c r="P16" s="36">
        <f ca="1"/>
        <v>2.020613306305602E-2</v>
      </c>
      <c r="Q16" s="36">
        <f t="shared" si="0"/>
        <v>5.0000000000000001E-3</v>
      </c>
      <c r="R16" s="37">
        <f t="shared" ca="1" si="1"/>
        <v>2.5206133063056021E-2</v>
      </c>
      <c r="S16" s="41">
        <f t="shared" ca="1" si="2"/>
        <v>3.5093169533624569E-2</v>
      </c>
      <c r="T16" s="110">
        <f t="shared" ca="1" si="3"/>
        <v>4.5649012584362492E-2</v>
      </c>
    </row>
    <row r="17" spans="2:20" x14ac:dyDescent="0.3">
      <c r="B17" s="1">
        <v>0.5</v>
      </c>
      <c r="C17" s="129">
        <f>'Données d''entrée des courbes'!C18</f>
        <v>4.2599999999999999E-3</v>
      </c>
      <c r="E17" s="92" t="s">
        <v>7</v>
      </c>
      <c r="F17" s="78" t="s">
        <v>23</v>
      </c>
      <c r="G17" s="82" t="s">
        <v>0</v>
      </c>
      <c r="H17" s="89" t="s">
        <v>11</v>
      </c>
      <c r="I17" s="82" t="s">
        <v>2</v>
      </c>
      <c r="J17" s="82" t="s">
        <v>3</v>
      </c>
      <c r="N17">
        <v>14</v>
      </c>
      <c r="O17" s="36">
        <f ca="1"/>
        <v>1.0591018189858969E-2</v>
      </c>
      <c r="P17" s="36">
        <f ca="1"/>
        <v>2.039600229048999E-2</v>
      </c>
      <c r="Q17" s="36">
        <f t="shared" si="0"/>
        <v>5.0000000000000001E-3</v>
      </c>
      <c r="R17" s="37">
        <f t="shared" ca="1" si="1"/>
        <v>2.5396002290489991E-2</v>
      </c>
      <c r="S17" s="41">
        <f t="shared" ca="1" si="2"/>
        <v>3.5987020480348964E-2</v>
      </c>
      <c r="T17" s="110">
        <f t="shared" ca="1" si="3"/>
        <v>4.7677567229385875E-2</v>
      </c>
    </row>
    <row r="18" spans="2:20" x14ac:dyDescent="0.3">
      <c r="B18" s="1">
        <v>1</v>
      </c>
      <c r="C18" s="129">
        <f>'Données d''entrée des courbes'!C19</f>
        <v>4.2599999999999999E-3</v>
      </c>
      <c r="E18" s="1">
        <v>1</v>
      </c>
      <c r="F18" s="16">
        <f t="shared" ref="F18:F30" si="4">SUMPRODUCT($G$16:$J$16,$G18:$J18)</f>
        <v>2.1970000000000003E-2</v>
      </c>
      <c r="G18" s="130">
        <f>'Données d''entrée des courbes'!F19</f>
        <v>3.2500000000000003E-3</v>
      </c>
      <c r="H18" s="131">
        <f>'Données d''entrée des courbes'!G19</f>
        <v>2.1970000000000003E-2</v>
      </c>
      <c r="I18" s="130">
        <f>'Données d''entrée des courbes'!H19</f>
        <v>0</v>
      </c>
      <c r="J18" s="130">
        <f>'Données d''entrée des courbes'!I19</f>
        <v>0</v>
      </c>
      <c r="K18" s="28"/>
      <c r="N18">
        <v>15</v>
      </c>
      <c r="O18" s="36">
        <f ca="1"/>
        <v>1.1302770569539655E-2</v>
      </c>
      <c r="P18" s="36">
        <f ca="1"/>
        <v>2.0599039342302505E-2</v>
      </c>
      <c r="Q18" s="36">
        <f t="shared" si="0"/>
        <v>5.0000000000000001E-3</v>
      </c>
      <c r="R18" s="37">
        <f t="shared" ca="1" si="1"/>
        <v>2.5599039342302506E-2</v>
      </c>
      <c r="S18" s="41">
        <f t="shared" ca="1" si="2"/>
        <v>3.6901809911842165E-2</v>
      </c>
      <c r="T18" s="110">
        <f t="shared" ca="1" si="3"/>
        <v>4.9794003250080321E-2</v>
      </c>
    </row>
    <row r="19" spans="2:20" x14ac:dyDescent="0.3">
      <c r="B19" s="1">
        <v>2</v>
      </c>
      <c r="C19" s="129">
        <f>'Données d''entrée des courbes'!C20</f>
        <v>4.5599999999999998E-3</v>
      </c>
      <c r="E19" s="1">
        <v>2</v>
      </c>
      <c r="F19" s="16">
        <f t="shared" si="4"/>
        <v>2.2435000000000004E-2</v>
      </c>
      <c r="G19" s="130">
        <f>'Données d''entrée des courbes'!F20</f>
        <v>4.4299999999999999E-3</v>
      </c>
      <c r="H19" s="131">
        <f>'Données d''entrée des courbes'!G20</f>
        <v>2.2435000000000004E-2</v>
      </c>
      <c r="I19" s="130">
        <f>'Données d''entrée des courbes'!H20</f>
        <v>0</v>
      </c>
      <c r="J19" s="130">
        <f>'Données d''entrée des courbes'!I20</f>
        <v>0</v>
      </c>
      <c r="K19" s="28"/>
      <c r="N19">
        <v>16</v>
      </c>
      <c r="O19" s="36">
        <f ca="1"/>
        <v>1.1718161119753878E-2</v>
      </c>
      <c r="P19" s="36">
        <f ca="1"/>
        <v>2.0697614554136379E-2</v>
      </c>
      <c r="Q19" s="36">
        <f t="shared" si="0"/>
        <v>5.0000000000000001E-3</v>
      </c>
      <c r="R19" s="37">
        <f t="shared" ca="1" si="1"/>
        <v>2.569761455413638E-2</v>
      </c>
      <c r="S19" s="41">
        <f t="shared" ca="1" si="2"/>
        <v>3.7415775673890261E-2</v>
      </c>
      <c r="T19" s="110">
        <f t="shared" ca="1" si="3"/>
        <v>4.5155904099500876E-2</v>
      </c>
    </row>
    <row r="20" spans="2:20" x14ac:dyDescent="0.3">
      <c r="B20" s="1">
        <v>3</v>
      </c>
      <c r="C20" s="129">
        <f>'Données d''entrée des courbes'!C21</f>
        <v>5.13E-3</v>
      </c>
      <c r="E20" s="1">
        <v>3</v>
      </c>
      <c r="F20" s="16">
        <f t="shared" si="4"/>
        <v>2.274E-2</v>
      </c>
      <c r="G20" s="130">
        <f>'Données d''entrée des courbes'!F21</f>
        <v>5.6800000000000002E-3</v>
      </c>
      <c r="H20" s="131">
        <f>'Données d''entrée des courbes'!G21</f>
        <v>2.274E-2</v>
      </c>
      <c r="I20" s="130">
        <f>'Données d''entrée des courbes'!H21</f>
        <v>0</v>
      </c>
      <c r="J20" s="130">
        <f>'Données d''entrée des courbes'!I21</f>
        <v>0</v>
      </c>
      <c r="K20" s="28"/>
      <c r="N20">
        <v>17</v>
      </c>
      <c r="O20" s="36">
        <f ca="1"/>
        <v>1.2137691484647606E-2</v>
      </c>
      <c r="P20" s="36">
        <f ca="1"/>
        <v>2.0805813450429089E-2</v>
      </c>
      <c r="Q20" s="36">
        <f t="shared" si="0"/>
        <v>5.0000000000000001E-3</v>
      </c>
      <c r="R20" s="37">
        <f t="shared" ca="1" si="1"/>
        <v>2.580581345042909E-2</v>
      </c>
      <c r="S20" s="41">
        <f t="shared" ca="1" si="2"/>
        <v>3.79435049350767E-2</v>
      </c>
      <c r="T20" s="110">
        <f t="shared" ca="1" si="3"/>
        <v>4.6423775853675409E-2</v>
      </c>
    </row>
    <row r="21" spans="2:20" x14ac:dyDescent="0.3">
      <c r="B21" s="1">
        <v>4</v>
      </c>
      <c r="C21" s="129">
        <f>'Données d''entrée des courbes'!C22</f>
        <v>5.8299999999999992E-3</v>
      </c>
      <c r="E21" s="1">
        <v>4</v>
      </c>
      <c r="F21" s="16">
        <f t="shared" si="4"/>
        <v>2.2875E-2</v>
      </c>
      <c r="G21" s="130">
        <f>'Données d''entrée des courbes'!F22</f>
        <v>7.150000000000001E-3</v>
      </c>
      <c r="H21" s="131">
        <f>'Données d''entrée des courbes'!G22</f>
        <v>2.2875E-2</v>
      </c>
      <c r="I21" s="130">
        <f>'Données d''entrée des courbes'!H22</f>
        <v>0</v>
      </c>
      <c r="J21" s="130">
        <f>'Données d''entrée des courbes'!I22</f>
        <v>0</v>
      </c>
      <c r="K21" s="28"/>
      <c r="N21">
        <v>18</v>
      </c>
      <c r="O21" s="36">
        <f ca="1"/>
        <v>1.2561591749558954E-2</v>
      </c>
      <c r="P21" s="36">
        <f ca="1"/>
        <v>2.0923900408212737E-2</v>
      </c>
      <c r="Q21" s="36">
        <f t="shared" si="0"/>
        <v>5.0000000000000001E-3</v>
      </c>
      <c r="R21" s="37">
        <f t="shared" ca="1" si="1"/>
        <v>2.5923900408212738E-2</v>
      </c>
      <c r="S21" s="41">
        <f t="shared" ca="1" si="2"/>
        <v>3.8485492157771695E-2</v>
      </c>
      <c r="T21" s="110">
        <f t="shared" ca="1" si="3"/>
        <v>4.7742696558847442E-2</v>
      </c>
    </row>
    <row r="22" spans="2:20" x14ac:dyDescent="0.3">
      <c r="B22" s="1">
        <v>5</v>
      </c>
      <c r="C22" s="129">
        <f>'Données d''entrée des courbes'!C23</f>
        <v>6.1399999999999996E-3</v>
      </c>
      <c r="E22" s="1">
        <v>5</v>
      </c>
      <c r="F22" s="16">
        <f t="shared" si="4"/>
        <v>2.3229999999999997E-2</v>
      </c>
      <c r="G22" s="130">
        <f>'Données d''entrée des courbes'!F23</f>
        <v>8.2799999999999992E-3</v>
      </c>
      <c r="H22" s="131">
        <f>'Données d''entrée des courbes'!G23</f>
        <v>2.3229999999999997E-2</v>
      </c>
      <c r="I22" s="130">
        <f>'Données d''entrée des courbes'!H23</f>
        <v>0</v>
      </c>
      <c r="J22" s="130">
        <f>'Données d''entrée des courbes'!I23</f>
        <v>0</v>
      </c>
      <c r="K22" s="28"/>
      <c r="N22">
        <v>19</v>
      </c>
      <c r="O22" s="36">
        <f ca="1"/>
        <v>1.299011858282384E-2</v>
      </c>
      <c r="P22" s="36">
        <f ca="1"/>
        <v>2.1052290107741289E-2</v>
      </c>
      <c r="Q22" s="36">
        <f t="shared" si="0"/>
        <v>5.0000000000000001E-3</v>
      </c>
      <c r="R22" s="37">
        <f t="shared" ca="1" si="1"/>
        <v>2.605229010774129E-2</v>
      </c>
      <c r="S22" s="41">
        <f t="shared" ca="1" si="2"/>
        <v>3.9042408690565134E-2</v>
      </c>
      <c r="T22" s="110">
        <f t="shared" ca="1" si="3"/>
        <v>4.9118132995515484E-2</v>
      </c>
    </row>
    <row r="23" spans="2:20" x14ac:dyDescent="0.3">
      <c r="B23" s="1">
        <v>7</v>
      </c>
      <c r="C23" s="129">
        <f>'Données d''entrée des courbes'!C24</f>
        <v>6.6700000000000006E-3</v>
      </c>
      <c r="E23" s="1">
        <v>7</v>
      </c>
      <c r="F23" s="16">
        <f t="shared" si="4"/>
        <v>2.4524999999999998E-2</v>
      </c>
      <c r="G23" s="130">
        <f>'Données d''entrée des courbes'!F24</f>
        <v>1.0480000000000001E-2</v>
      </c>
      <c r="H23" s="131">
        <f>'Données d''entrée des courbes'!G24</f>
        <v>2.4524999999999998E-2</v>
      </c>
      <c r="I23" s="130">
        <f>'Données d''entrée des courbes'!H24</f>
        <v>0</v>
      </c>
      <c r="J23" s="130">
        <f>'Données d''entrée des courbes'!I24</f>
        <v>0</v>
      </c>
      <c r="K23" s="28"/>
      <c r="N23">
        <v>20</v>
      </c>
      <c r="O23" s="36">
        <f ca="1"/>
        <v>1.3423554509838675E-2</v>
      </c>
      <c r="P23" s="36">
        <f ca="1"/>
        <v>2.1191540235951711E-2</v>
      </c>
      <c r="Q23" s="36">
        <f t="shared" si="0"/>
        <v>5.0000000000000001E-3</v>
      </c>
      <c r="R23" s="37">
        <f t="shared" ca="1" si="1"/>
        <v>2.6191540235951712E-2</v>
      </c>
      <c r="S23" s="41">
        <f t="shared" ca="1" si="2"/>
        <v>3.9615094745790391E-2</v>
      </c>
      <c r="T23" s="110">
        <f t="shared" ca="1" si="3"/>
        <v>5.0556301282377536E-2</v>
      </c>
    </row>
    <row r="24" spans="2:20" x14ac:dyDescent="0.3">
      <c r="B24" s="1">
        <v>8</v>
      </c>
      <c r="C24" s="129">
        <f>'Données d''entrée des courbes'!C25</f>
        <v>6.7400000000000003E-3</v>
      </c>
      <c r="E24" s="1">
        <v>8</v>
      </c>
      <c r="F24" s="16">
        <f t="shared" si="4"/>
        <v>2.5144999999999997E-2</v>
      </c>
      <c r="G24" s="130">
        <f>'Données d''entrée des courbes'!F25</f>
        <v>1.1269999999999999E-2</v>
      </c>
      <c r="H24" s="131">
        <f>'Données d''entrée des courbes'!G25</f>
        <v>2.5144999999999997E-2</v>
      </c>
      <c r="I24" s="130">
        <f>'Données d''entrée des courbes'!H25</f>
        <v>0</v>
      </c>
      <c r="J24" s="130">
        <f>'Données d''entrée des courbes'!I25</f>
        <v>0</v>
      </c>
      <c r="K24" s="28"/>
      <c r="N24">
        <v>21</v>
      </c>
      <c r="O24" s="36">
        <f ca="1"/>
        <v>1.3531368646791497E-2</v>
      </c>
      <c r="P24" s="36">
        <f ca="1"/>
        <v>2.1259006654577806E-2</v>
      </c>
      <c r="Q24" s="36">
        <f t="shared" si="0"/>
        <v>5.0000000000000001E-3</v>
      </c>
      <c r="R24" s="37">
        <f t="shared" ca="1" si="1"/>
        <v>2.6259006654577807E-2</v>
      </c>
      <c r="S24" s="41">
        <f t="shared" ca="1" si="2"/>
        <v>3.9790375301369307E-2</v>
      </c>
      <c r="T24" s="110">
        <f t="shared" ca="1" si="3"/>
        <v>4.3302199079548798E-2</v>
      </c>
    </row>
    <row r="25" spans="2:20" x14ac:dyDescent="0.3">
      <c r="B25" s="1">
        <v>9</v>
      </c>
      <c r="C25" s="129">
        <f>'Données d''entrée des courbes'!C26</f>
        <v>7.2199999999999999E-3</v>
      </c>
      <c r="E25" s="1">
        <v>9</v>
      </c>
      <c r="F25" s="16">
        <f t="shared" si="4"/>
        <v>2.5444999999999999E-2</v>
      </c>
      <c r="G25" s="130">
        <f>'Données d''entrée des courbes'!F26</f>
        <v>1.1799999999999998E-2</v>
      </c>
      <c r="H25" s="131">
        <f>'Données d''entrée des courbes'!G26</f>
        <v>2.5444999999999999E-2</v>
      </c>
      <c r="I25" s="130">
        <f>'Données d''entrée des courbes'!H26</f>
        <v>0</v>
      </c>
      <c r="J25" s="130">
        <f>'Données d''entrée des courbes'!I26</f>
        <v>0</v>
      </c>
      <c r="K25" s="28"/>
      <c r="N25">
        <v>22</v>
      </c>
      <c r="O25" s="36">
        <f ca="1"/>
        <v>1.3641218539176991E-2</v>
      </c>
      <c r="P25" s="36">
        <f ca="1"/>
        <v>2.1333273739113312E-2</v>
      </c>
      <c r="Q25" s="36">
        <f t="shared" si="0"/>
        <v>5.0000000000000001E-3</v>
      </c>
      <c r="R25" s="37">
        <f t="shared" ca="1" si="1"/>
        <v>2.6333273739113313E-2</v>
      </c>
      <c r="S25" s="41">
        <f t="shared" ca="1" si="2"/>
        <v>3.9974492278290308E-2</v>
      </c>
      <c r="T25" s="110">
        <f t="shared" ca="1" si="3"/>
        <v>4.3848488712279421E-2</v>
      </c>
    </row>
    <row r="26" spans="2:20" x14ac:dyDescent="0.3">
      <c r="B26" s="1">
        <v>10</v>
      </c>
      <c r="C26" s="129">
        <f>'Données d''entrée des courbes'!C27</f>
        <v>7.7499999999999999E-3</v>
      </c>
      <c r="E26" s="1">
        <v>10</v>
      </c>
      <c r="F26" s="16">
        <f t="shared" si="4"/>
        <v>2.5590000000000002E-2</v>
      </c>
      <c r="G26" s="130">
        <f>'Données d''entrée des courbes'!F27</f>
        <v>1.2129999999999998E-2</v>
      </c>
      <c r="H26" s="131">
        <f>'Données d''entrée des courbes'!G27</f>
        <v>2.5590000000000002E-2</v>
      </c>
      <c r="I26" s="130">
        <f>'Données d''entrée des courbes'!H27</f>
        <v>0</v>
      </c>
      <c r="J26" s="130">
        <f>'Données d''entrée des courbes'!I27</f>
        <v>0</v>
      </c>
      <c r="K26" s="28"/>
      <c r="N26">
        <v>23</v>
      </c>
      <c r="O26" s="36">
        <f ca="1"/>
        <v>1.3752976685896812E-2</v>
      </c>
      <c r="P26" s="36">
        <f ca="1"/>
        <v>2.1414190202584615E-2</v>
      </c>
      <c r="Q26" s="36">
        <f t="shared" si="0"/>
        <v>5.0000000000000001E-3</v>
      </c>
      <c r="R26" s="37">
        <f t="shared" ca="1" si="1"/>
        <v>2.6414190202584616E-2</v>
      </c>
      <c r="S26" s="41">
        <f t="shared" ca="1" si="2"/>
        <v>4.0167166888481431E-2</v>
      </c>
      <c r="T26" s="110">
        <f t="shared" ca="1" si="3"/>
        <v>4.4415051264077521E-2</v>
      </c>
    </row>
    <row r="27" spans="2:20" x14ac:dyDescent="0.3">
      <c r="B27" s="1">
        <v>15</v>
      </c>
      <c r="C27" s="129">
        <f>'Données d''entrée des courbes'!C28</f>
        <v>1.102E-2</v>
      </c>
      <c r="E27" s="1">
        <v>15</v>
      </c>
      <c r="F27" s="16">
        <f t="shared" si="4"/>
        <v>2.6125000000000002E-2</v>
      </c>
      <c r="G27" s="130">
        <f>'Données d''entrée des courbes'!F28</f>
        <v>1.3689999999999999E-2</v>
      </c>
      <c r="H27" s="131">
        <f>'Données d''entrée des courbes'!G28</f>
        <v>2.6125000000000002E-2</v>
      </c>
      <c r="I27" s="130">
        <f>'Données d''entrée des courbes'!H28</f>
        <v>0</v>
      </c>
      <c r="J27" s="130">
        <f>'Données d''entrée des courbes'!I28</f>
        <v>0</v>
      </c>
      <c r="K27" s="28"/>
      <c r="N27">
        <v>24</v>
      </c>
      <c r="O27" s="36">
        <f ca="1"/>
        <v>1.386654275115129E-2</v>
      </c>
      <c r="P27" s="36">
        <f ca="1"/>
        <v>2.1501688973481037E-2</v>
      </c>
      <c r="Q27" s="36">
        <f t="shared" si="0"/>
        <v>5.0000000000000001E-3</v>
      </c>
      <c r="R27" s="37">
        <f t="shared" ca="1" si="1"/>
        <v>2.6501688973481038E-2</v>
      </c>
      <c r="S27" s="41">
        <f t="shared" ca="1" si="2"/>
        <v>4.0368231724632331E-2</v>
      </c>
      <c r="T27" s="110">
        <f t="shared" ca="1" si="3"/>
        <v>4.5003465175213364E-2</v>
      </c>
    </row>
    <row r="28" spans="2:20" x14ac:dyDescent="0.3">
      <c r="B28" s="1">
        <v>20</v>
      </c>
      <c r="C28" s="129">
        <f>'Données d''entrée des courbes'!C29</f>
        <v>1.294E-2</v>
      </c>
      <c r="E28" s="1">
        <v>20</v>
      </c>
      <c r="F28" s="16">
        <f t="shared" si="4"/>
        <v>2.64E-2</v>
      </c>
      <c r="G28" s="130">
        <f>'Données d''entrée des courbes'!F29</f>
        <v>1.4089999999999998E-2</v>
      </c>
      <c r="H28" s="131">
        <f>'Données d''entrée des courbes'!G29</f>
        <v>2.64E-2</v>
      </c>
      <c r="I28" s="130">
        <f>'Données d''entrée des courbes'!H29</f>
        <v>0</v>
      </c>
      <c r="J28" s="130">
        <f>'Données d''entrée des courbes'!I29</f>
        <v>0</v>
      </c>
      <c r="K28" s="28"/>
      <c r="N28">
        <v>25</v>
      </c>
      <c r="O28" s="36">
        <f ca="1"/>
        <v>1.3981838406994296E-2</v>
      </c>
      <c r="P28" s="36">
        <f ca="1"/>
        <v>2.1595776373608488E-2</v>
      </c>
      <c r="Q28" s="36">
        <f t="shared" si="0"/>
        <v>5.0000000000000001E-3</v>
      </c>
      <c r="R28" s="37">
        <f t="shared" ca="1" si="1"/>
        <v>2.6595776373608489E-2</v>
      </c>
      <c r="S28" s="41">
        <f t="shared" ca="1" si="2"/>
        <v>4.0577614780602789E-2</v>
      </c>
      <c r="T28" s="110">
        <f t="shared" ca="1" si="3"/>
        <v>4.5615469694298305E-2</v>
      </c>
    </row>
    <row r="29" spans="2:20" x14ac:dyDescent="0.3">
      <c r="B29" s="1">
        <v>25</v>
      </c>
      <c r="C29" s="129">
        <f>'Données d''entrée des courbes'!C30</f>
        <v>1.3480000000000001E-2</v>
      </c>
      <c r="E29" s="1">
        <v>25</v>
      </c>
      <c r="F29" s="16">
        <f t="shared" si="4"/>
        <v>2.6734999999999995E-2</v>
      </c>
      <c r="G29" s="130">
        <f>'Données d''entrée des courbes'!F30</f>
        <v>1.4130000000000002E-2</v>
      </c>
      <c r="H29" s="131">
        <f>'Données d''entrée des courbes'!G30</f>
        <v>2.6734999999999995E-2</v>
      </c>
      <c r="I29" s="130">
        <f>'Données d''entrée des courbes'!H30</f>
        <v>0</v>
      </c>
      <c r="J29" s="130">
        <f>'Données d''entrée des courbes'!I30</f>
        <v>0</v>
      </c>
      <c r="K29" s="28"/>
      <c r="N29">
        <v>26</v>
      </c>
      <c r="O29" s="36">
        <f ca="1"/>
        <v>1.3926994380078161E-2</v>
      </c>
      <c r="P29" s="36">
        <f ca="1"/>
        <v>2.1648918780475535E-2</v>
      </c>
      <c r="Q29" s="36">
        <f t="shared" si="0"/>
        <v>5.0000000000000001E-3</v>
      </c>
      <c r="R29" s="37">
        <f t="shared" ca="1" si="1"/>
        <v>2.6648918780475536E-2</v>
      </c>
      <c r="S29" s="41">
        <f t="shared" ca="1" si="2"/>
        <v>4.05759131605537E-2</v>
      </c>
      <c r="T29" s="110">
        <f t="shared" ca="1" si="3"/>
        <v>4.0533373563657493E-2</v>
      </c>
    </row>
    <row r="30" spans="2:20" x14ac:dyDescent="0.3">
      <c r="B30" s="1">
        <v>30</v>
      </c>
      <c r="C30" s="129">
        <f>'Données d''entrée des courbes'!C31</f>
        <v>1.333E-2</v>
      </c>
      <c r="E30" s="1">
        <v>30</v>
      </c>
      <c r="F30" s="16">
        <f t="shared" si="4"/>
        <v>2.7145000000000002E-2</v>
      </c>
      <c r="G30" s="130">
        <f>'Données d''entrée des courbes'!F31</f>
        <v>1.427E-2</v>
      </c>
      <c r="H30" s="131">
        <f>'Données d''entrée des courbes'!G31</f>
        <v>2.7145000000000002E-2</v>
      </c>
      <c r="I30" s="130">
        <f>'Données d''entrée des courbes'!H31</f>
        <v>0</v>
      </c>
      <c r="J30" s="130">
        <f>'Données d''entrée des courbes'!I31</f>
        <v>0</v>
      </c>
      <c r="K30" s="28"/>
      <c r="N30">
        <v>27</v>
      </c>
      <c r="O30" s="36">
        <f ca="1"/>
        <v>1.3873527472835878E-2</v>
      </c>
      <c r="P30" s="36">
        <f ca="1"/>
        <v>2.1706187920846665E-2</v>
      </c>
      <c r="Q30" s="36">
        <f t="shared" si="0"/>
        <v>5.0000000000000001E-3</v>
      </c>
      <c r="R30" s="37">
        <f t="shared" ca="1" si="1"/>
        <v>2.6706187920846666E-2</v>
      </c>
      <c r="S30" s="41">
        <f t="shared" ca="1" si="2"/>
        <v>4.0579715393682547E-2</v>
      </c>
      <c r="T30" s="110">
        <f t="shared" ca="1" si="3"/>
        <v>4.067857833171451E-2</v>
      </c>
    </row>
    <row r="31" spans="2:20" x14ac:dyDescent="0.3">
      <c r="N31">
        <v>28</v>
      </c>
      <c r="O31" s="36">
        <f ca="1"/>
        <v>1.3821273873644069E-2</v>
      </c>
      <c r="P31" s="36">
        <f ca="1"/>
        <v>2.1767361198229307E-2</v>
      </c>
      <c r="Q31" s="36">
        <f t="shared" si="0"/>
        <v>5.0000000000000001E-3</v>
      </c>
      <c r="R31" s="37">
        <f t="shared" ca="1" si="1"/>
        <v>2.6767361198229308E-2</v>
      </c>
      <c r="S31" s="41">
        <f t="shared" ca="1" si="2"/>
        <v>4.058863507187338E-2</v>
      </c>
      <c r="T31" s="110">
        <f t="shared" ca="1" si="3"/>
        <v>4.0829495286299089E-2</v>
      </c>
    </row>
    <row r="32" spans="2:20" x14ac:dyDescent="0.3">
      <c r="N32">
        <v>29</v>
      </c>
      <c r="O32" s="36">
        <f ca="1"/>
        <v>1.3770092406137246E-2</v>
      </c>
      <c r="P32" s="36">
        <f ca="1"/>
        <v>2.1832258022360718E-2</v>
      </c>
      <c r="Q32" s="36">
        <f t="shared" si="0"/>
        <v>5.0000000000000001E-3</v>
      </c>
      <c r="R32" s="37">
        <f t="shared" ca="1" si="1"/>
        <v>2.6832258022360719E-2</v>
      </c>
      <c r="S32" s="41">
        <f t="shared" ca="1" si="2"/>
        <v>4.0602350428497969E-2</v>
      </c>
      <c r="T32" s="110">
        <f t="shared" ca="1" si="3"/>
        <v>4.0986453816798329E-2</v>
      </c>
    </row>
    <row r="33" spans="14:20" x14ac:dyDescent="0.3">
      <c r="N33">
        <v>30</v>
      </c>
      <c r="O33" s="36">
        <f ca="1"/>
        <v>1.3719860761480129E-2</v>
      </c>
      <c r="P33" s="36">
        <f ca="1"/>
        <v>2.1900733553396778E-2</v>
      </c>
      <c r="Q33" s="36">
        <f t="shared" si="0"/>
        <v>5.0000000000000001E-3</v>
      </c>
      <c r="R33" s="37">
        <f t="shared" ca="1" si="1"/>
        <v>2.6900733553396779E-2</v>
      </c>
      <c r="S33" s="41">
        <f t="shared" ca="1" si="2"/>
        <v>4.0620594314876912E-2</v>
      </c>
      <c r="T33" s="110">
        <f t="shared" ca="1" si="3"/>
        <v>4.1149806178526038E-2</v>
      </c>
    </row>
    <row r="34" spans="14:20" x14ac:dyDescent="0.3">
      <c r="N34">
        <v>31</v>
      </c>
      <c r="O34" s="16">
        <f t="shared" ref="O34:O65" ca="1" si="5">IF(N34&gt;=ult_rate_year,ult_rate,(ult_rate-$O$33)/(ult_rate_year-obs_period)+O33)</f>
        <v>1.4376864242443126E-2</v>
      </c>
      <c r="R34" s="16">
        <f t="shared" ref="R34:R65" ca="1" si="6">IF(N34&gt;=ult_rate_year,liq_prem_ult,(liq_prem_ult-$R$33)/(ult_rate_year-obs_period)+R33)</f>
        <v>2.6603215214561861E-2</v>
      </c>
      <c r="S34" s="41">
        <f t="shared" ca="1" si="2"/>
        <v>4.0980079457004985E-2</v>
      </c>
      <c r="T34" s="110">
        <f t="shared" ref="T34:T97" ca="1" si="7">((1+S34)^N34)/((1+S33)^N33)-1</f>
        <v>5.1822573093040836E-2</v>
      </c>
    </row>
    <row r="35" spans="14:20" x14ac:dyDescent="0.3">
      <c r="N35">
        <v>32</v>
      </c>
      <c r="O35" s="16">
        <f t="shared" ca="1" si="5"/>
        <v>1.5033867723406123E-2</v>
      </c>
      <c r="R35" s="16">
        <f t="shared" ca="1" si="6"/>
        <v>2.6305696875726942E-2</v>
      </c>
      <c r="S35" s="41">
        <f t="shared" ca="1" si="2"/>
        <v>4.1339564599133065E-2</v>
      </c>
      <c r="T35" s="110">
        <f t="shared" ca="1" si="7"/>
        <v>5.2545391711970035E-2</v>
      </c>
    </row>
    <row r="36" spans="14:20" x14ac:dyDescent="0.3">
      <c r="N36">
        <v>33</v>
      </c>
      <c r="O36" s="16">
        <f t="shared" ca="1" si="5"/>
        <v>1.5690871204369121E-2</v>
      </c>
      <c r="R36" s="16">
        <f t="shared" ca="1" si="6"/>
        <v>2.6008178536892024E-2</v>
      </c>
      <c r="S36" s="41">
        <f t="shared" ca="1" si="2"/>
        <v>4.1699049741261145E-2</v>
      </c>
      <c r="T36" s="110">
        <f t="shared" ca="1" si="7"/>
        <v>5.3268333094422804E-2</v>
      </c>
    </row>
    <row r="37" spans="14:20" x14ac:dyDescent="0.3">
      <c r="N37">
        <v>34</v>
      </c>
      <c r="O37" s="16">
        <f t="shared" ca="1" si="5"/>
        <v>1.6347874685332119E-2</v>
      </c>
      <c r="R37" s="16">
        <f t="shared" ca="1" si="6"/>
        <v>2.5710660198057105E-2</v>
      </c>
      <c r="S37" s="41">
        <f t="shared" ca="1" si="2"/>
        <v>4.2058534883389224E-2</v>
      </c>
      <c r="T37" s="110">
        <f t="shared" ca="1" si="7"/>
        <v>5.3991397155201293E-2</v>
      </c>
    </row>
    <row r="38" spans="14:20" x14ac:dyDescent="0.3">
      <c r="N38">
        <v>35</v>
      </c>
      <c r="O38" s="16">
        <f t="shared" ca="1" si="5"/>
        <v>1.7004878166295118E-2</v>
      </c>
      <c r="R38" s="16">
        <f t="shared" ca="1" si="6"/>
        <v>2.5413141859222187E-2</v>
      </c>
      <c r="S38" s="41">
        <f t="shared" ca="1" si="2"/>
        <v>4.2418020025517304E-2</v>
      </c>
      <c r="T38" s="110">
        <f t="shared" ca="1" si="7"/>
        <v>5.4714583809159834E-2</v>
      </c>
    </row>
    <row r="39" spans="14:20" x14ac:dyDescent="0.3">
      <c r="N39">
        <v>36</v>
      </c>
      <c r="O39" s="16">
        <f t="shared" ca="1" si="5"/>
        <v>1.7661881647258116E-2</v>
      </c>
      <c r="R39" s="16">
        <f t="shared" ca="1" si="6"/>
        <v>2.5115623520387268E-2</v>
      </c>
      <c r="S39" s="41">
        <f t="shared" ca="1" si="2"/>
        <v>4.2777505167645384E-2</v>
      </c>
      <c r="T39" s="110">
        <f t="shared" ca="1" si="7"/>
        <v>5.5437892971266889E-2</v>
      </c>
    </row>
    <row r="40" spans="14:20" x14ac:dyDescent="0.3">
      <c r="N40">
        <v>37</v>
      </c>
      <c r="O40" s="16">
        <f t="shared" ca="1" si="5"/>
        <v>1.8318885128221114E-2</v>
      </c>
      <c r="R40" s="16">
        <f t="shared" ca="1" si="6"/>
        <v>2.481810518155235E-2</v>
      </c>
      <c r="S40" s="41">
        <f t="shared" ca="1" si="2"/>
        <v>4.3136990309773464E-2</v>
      </c>
      <c r="T40" s="110">
        <f t="shared" ca="1" si="7"/>
        <v>5.6161324556545766E-2</v>
      </c>
    </row>
    <row r="41" spans="14:20" x14ac:dyDescent="0.3">
      <c r="N41">
        <v>38</v>
      </c>
      <c r="O41" s="16">
        <f t="shared" ca="1" si="5"/>
        <v>1.8975888609184113E-2</v>
      </c>
      <c r="R41" s="16">
        <f t="shared" ca="1" si="6"/>
        <v>2.4520586842717431E-2</v>
      </c>
      <c r="S41" s="41">
        <f t="shared" ca="1" si="2"/>
        <v>4.3496475451901544E-2</v>
      </c>
      <c r="T41" s="110">
        <f t="shared" ca="1" si="7"/>
        <v>5.6884878480104151E-2</v>
      </c>
    </row>
    <row r="42" spans="14:20" x14ac:dyDescent="0.3">
      <c r="N42">
        <v>39</v>
      </c>
      <c r="O42" s="16">
        <f t="shared" ca="1" si="5"/>
        <v>1.9632892090147111E-2</v>
      </c>
      <c r="R42" s="16">
        <f t="shared" ca="1" si="6"/>
        <v>2.4223068503882512E-2</v>
      </c>
      <c r="S42" s="41">
        <f t="shared" ca="1" si="2"/>
        <v>4.3855960594029623E-2</v>
      </c>
      <c r="T42" s="110">
        <f t="shared" ca="1" si="7"/>
        <v>5.7608554657075706E-2</v>
      </c>
    </row>
    <row r="43" spans="14:20" x14ac:dyDescent="0.3">
      <c r="N43">
        <v>40</v>
      </c>
      <c r="O43" s="16">
        <f t="shared" ca="1" si="5"/>
        <v>2.0289895571110109E-2</v>
      </c>
      <c r="R43" s="16">
        <f t="shared" ca="1" si="6"/>
        <v>2.3925550165047594E-2</v>
      </c>
      <c r="S43" s="41">
        <f t="shared" ca="1" si="2"/>
        <v>4.4215445736157703E-2</v>
      </c>
      <c r="T43" s="110">
        <f t="shared" ca="1" si="7"/>
        <v>5.8332353002745752E-2</v>
      </c>
    </row>
    <row r="44" spans="14:20" x14ac:dyDescent="0.3">
      <c r="N44">
        <v>41</v>
      </c>
      <c r="O44" s="16">
        <f t="shared" ca="1" si="5"/>
        <v>2.0946899052073108E-2</v>
      </c>
      <c r="R44" s="16">
        <f t="shared" ca="1" si="6"/>
        <v>2.3628031826212675E-2</v>
      </c>
      <c r="S44" s="41">
        <f t="shared" ca="1" si="2"/>
        <v>4.4574930878285783E-2</v>
      </c>
      <c r="T44" s="110">
        <f t="shared" ca="1" si="7"/>
        <v>5.9056273432413819E-2</v>
      </c>
    </row>
    <row r="45" spans="14:20" x14ac:dyDescent="0.3">
      <c r="N45">
        <v>42</v>
      </c>
      <c r="O45" s="16">
        <f t="shared" ca="1" si="5"/>
        <v>2.1603902533036106E-2</v>
      </c>
      <c r="R45" s="16">
        <f t="shared" ca="1" si="6"/>
        <v>2.3330513487377757E-2</v>
      </c>
      <c r="S45" s="41">
        <f t="shared" ca="1" si="2"/>
        <v>4.4934416020413863E-2</v>
      </c>
      <c r="T45" s="110">
        <f t="shared" ca="1" si="7"/>
        <v>5.9780315861488686E-2</v>
      </c>
    </row>
    <row r="46" spans="14:20" x14ac:dyDescent="0.3">
      <c r="N46">
        <v>43</v>
      </c>
      <c r="O46" s="16">
        <f t="shared" ca="1" si="5"/>
        <v>2.2260906013999104E-2</v>
      </c>
      <c r="R46" s="16">
        <f t="shared" ca="1" si="6"/>
        <v>2.3032995148542838E-2</v>
      </c>
      <c r="S46" s="41">
        <f t="shared" ca="1" si="2"/>
        <v>4.5293901162541943E-2</v>
      </c>
      <c r="T46" s="110">
        <f t="shared" ca="1" si="7"/>
        <v>6.0504480205403333E-2</v>
      </c>
    </row>
    <row r="47" spans="14:20" x14ac:dyDescent="0.3">
      <c r="N47">
        <v>44</v>
      </c>
      <c r="O47" s="16">
        <f t="shared" ca="1" si="5"/>
        <v>2.2917909494962103E-2</v>
      </c>
      <c r="R47" s="16">
        <f t="shared" ca="1" si="6"/>
        <v>2.273547680970792E-2</v>
      </c>
      <c r="S47" s="41">
        <f t="shared" ca="1" si="2"/>
        <v>4.5653386304670023E-2</v>
      </c>
      <c r="T47" s="110">
        <f t="shared" ca="1" si="7"/>
        <v>6.1228766379730404E-2</v>
      </c>
    </row>
    <row r="48" spans="14:20" x14ac:dyDescent="0.3">
      <c r="N48">
        <v>45</v>
      </c>
      <c r="O48" s="16">
        <f t="shared" ca="1" si="5"/>
        <v>2.3574912975925101E-2</v>
      </c>
      <c r="R48" s="16">
        <f t="shared" ca="1" si="6"/>
        <v>2.2437958470873001E-2</v>
      </c>
      <c r="S48" s="41">
        <f t="shared" ca="1" si="2"/>
        <v>4.6012871446798102E-2</v>
      </c>
      <c r="T48" s="110">
        <f t="shared" ca="1" si="7"/>
        <v>6.1953174300068969E-2</v>
      </c>
    </row>
    <row r="49" spans="14:20" x14ac:dyDescent="0.3">
      <c r="N49">
        <v>46</v>
      </c>
      <c r="O49" s="16">
        <f t="shared" ca="1" si="5"/>
        <v>2.4231916456888099E-2</v>
      </c>
      <c r="R49" s="16">
        <f t="shared" ca="1" si="6"/>
        <v>2.2140440132038083E-2</v>
      </c>
      <c r="S49" s="41">
        <f t="shared" ca="1" si="2"/>
        <v>4.6372356588926182E-2</v>
      </c>
      <c r="T49" s="110">
        <f t="shared" ca="1" si="7"/>
        <v>6.2677703882121572E-2</v>
      </c>
    </row>
    <row r="50" spans="14:20" x14ac:dyDescent="0.3">
      <c r="N50">
        <v>47</v>
      </c>
      <c r="O50" s="16">
        <f t="shared" ca="1" si="5"/>
        <v>2.4888919937851098E-2</v>
      </c>
      <c r="R50" s="16">
        <f t="shared" ca="1" si="6"/>
        <v>2.1842921793203164E-2</v>
      </c>
      <c r="S50" s="41">
        <f t="shared" ca="1" si="2"/>
        <v>4.6731841731054262E-2</v>
      </c>
      <c r="T50" s="110">
        <f t="shared" ca="1" si="7"/>
        <v>6.3402355041604075E-2</v>
      </c>
    </row>
    <row r="51" spans="14:20" x14ac:dyDescent="0.3">
      <c r="N51">
        <v>48</v>
      </c>
      <c r="O51" s="16">
        <f t="shared" ca="1" si="5"/>
        <v>2.5545923418814096E-2</v>
      </c>
      <c r="R51" s="16">
        <f t="shared" ca="1" si="6"/>
        <v>2.1545403454368246E-2</v>
      </c>
      <c r="S51" s="41">
        <f t="shared" ca="1" si="2"/>
        <v>4.7091326873182342E-2</v>
      </c>
      <c r="T51" s="110">
        <f t="shared" ca="1" si="7"/>
        <v>6.4127127694383557E-2</v>
      </c>
    </row>
    <row r="52" spans="14:20" x14ac:dyDescent="0.3">
      <c r="N52">
        <v>49</v>
      </c>
      <c r="O52" s="16">
        <f t="shared" ca="1" si="5"/>
        <v>2.6202926899777094E-2</v>
      </c>
      <c r="R52" s="16">
        <f t="shared" ca="1" si="6"/>
        <v>2.1247885115533327E-2</v>
      </c>
      <c r="S52" s="41">
        <f t="shared" ca="1" si="2"/>
        <v>4.7450812015310422E-2</v>
      </c>
      <c r="T52" s="110">
        <f t="shared" ca="1" si="7"/>
        <v>6.4852021756377054E-2</v>
      </c>
    </row>
    <row r="53" spans="14:20" x14ac:dyDescent="0.3">
      <c r="N53">
        <v>50</v>
      </c>
      <c r="O53" s="16">
        <f t="shared" ca="1" si="5"/>
        <v>2.6859930380740093E-2</v>
      </c>
      <c r="R53" s="16">
        <f t="shared" ca="1" si="6"/>
        <v>2.0950366776698408E-2</v>
      </c>
      <c r="S53" s="41">
        <f t="shared" ca="1" si="2"/>
        <v>4.7810297157438501E-2</v>
      </c>
      <c r="T53" s="110">
        <f t="shared" ca="1" si="7"/>
        <v>6.5577037143535355E-2</v>
      </c>
    </row>
    <row r="54" spans="14:20" x14ac:dyDescent="0.3">
      <c r="N54">
        <v>51</v>
      </c>
      <c r="O54" s="16">
        <f t="shared" ca="1" si="5"/>
        <v>2.7516933861703091E-2</v>
      </c>
      <c r="R54" s="16">
        <f t="shared" ca="1" si="6"/>
        <v>2.065284843786349E-2</v>
      </c>
      <c r="S54" s="41">
        <f t="shared" ca="1" si="2"/>
        <v>4.8169782299566581E-2</v>
      </c>
      <c r="T54" s="110">
        <f t="shared" ca="1" si="7"/>
        <v>6.630217377190939E-2</v>
      </c>
    </row>
    <row r="55" spans="14:20" x14ac:dyDescent="0.3">
      <c r="N55">
        <v>52</v>
      </c>
      <c r="O55" s="16">
        <f t="shared" ca="1" si="5"/>
        <v>2.817393734266609E-2</v>
      </c>
      <c r="R55" s="16">
        <f t="shared" ca="1" si="6"/>
        <v>2.0355330099028571E-2</v>
      </c>
      <c r="S55" s="41">
        <f t="shared" ca="1" si="2"/>
        <v>4.8529267441694661E-2</v>
      </c>
      <c r="T55" s="110">
        <f t="shared" ca="1" si="7"/>
        <v>6.7027431557640016E-2</v>
      </c>
    </row>
    <row r="56" spans="14:20" x14ac:dyDescent="0.3">
      <c r="N56">
        <v>53</v>
      </c>
      <c r="O56" s="16">
        <f t="shared" ca="1" si="5"/>
        <v>2.8830940823629088E-2</v>
      </c>
      <c r="R56" s="16">
        <f t="shared" ca="1" si="6"/>
        <v>2.0057811760193653E-2</v>
      </c>
      <c r="S56" s="41">
        <f t="shared" ca="1" si="2"/>
        <v>4.8888752583822741E-2</v>
      </c>
      <c r="T56" s="110">
        <f t="shared" ca="1" si="7"/>
        <v>6.7752810416918496E-2</v>
      </c>
    </row>
    <row r="57" spans="14:20" x14ac:dyDescent="0.3">
      <c r="N57">
        <v>54</v>
      </c>
      <c r="O57" s="16">
        <f t="shared" ca="1" si="5"/>
        <v>2.9487944304592086E-2</v>
      </c>
      <c r="R57" s="16">
        <f t="shared" ca="1" si="6"/>
        <v>1.9760293421358734E-2</v>
      </c>
      <c r="S57" s="41">
        <f t="shared" ca="1" si="2"/>
        <v>4.9248237725950821E-2</v>
      </c>
      <c r="T57" s="110">
        <f t="shared" ca="1" si="7"/>
        <v>6.8478310266013587E-2</v>
      </c>
    </row>
    <row r="58" spans="14:20" x14ac:dyDescent="0.3">
      <c r="N58">
        <v>55</v>
      </c>
      <c r="O58" s="16">
        <f t="shared" ca="1" si="5"/>
        <v>3.0144947785555085E-2</v>
      </c>
      <c r="R58" s="16">
        <f t="shared" ca="1" si="6"/>
        <v>1.9462775082523816E-2</v>
      </c>
      <c r="S58" s="41">
        <f t="shared" ca="1" si="2"/>
        <v>4.96077228680789E-2</v>
      </c>
      <c r="T58" s="110">
        <f t="shared" ca="1" si="7"/>
        <v>6.9203931021257548E-2</v>
      </c>
    </row>
    <row r="59" spans="14:20" x14ac:dyDescent="0.3">
      <c r="N59">
        <v>56</v>
      </c>
      <c r="O59" s="16">
        <f t="shared" ca="1" si="5"/>
        <v>3.0801951266518083E-2</v>
      </c>
      <c r="R59" s="16">
        <f t="shared" ca="1" si="6"/>
        <v>1.9165256743688897E-2</v>
      </c>
      <c r="S59" s="41">
        <f t="shared" ca="1" si="2"/>
        <v>4.996720801020698E-2</v>
      </c>
      <c r="T59" s="110">
        <f t="shared" ca="1" si="7"/>
        <v>6.9929672599076342E-2</v>
      </c>
    </row>
    <row r="60" spans="14:20" x14ac:dyDescent="0.3">
      <c r="N60">
        <v>57</v>
      </c>
      <c r="O60" s="16">
        <f t="shared" ca="1" si="5"/>
        <v>3.1458954747481081E-2</v>
      </c>
      <c r="R60" s="16">
        <f t="shared" ca="1" si="6"/>
        <v>1.8867738404853979E-2</v>
      </c>
      <c r="S60" s="41">
        <f t="shared" ca="1" si="2"/>
        <v>5.032669315233506E-2</v>
      </c>
      <c r="T60" s="110">
        <f t="shared" ca="1" si="7"/>
        <v>7.0655534915967211E-2</v>
      </c>
    </row>
    <row r="61" spans="14:20" x14ac:dyDescent="0.3">
      <c r="N61">
        <v>58</v>
      </c>
      <c r="O61" s="16">
        <f t="shared" ca="1" si="5"/>
        <v>3.2115958228444076E-2</v>
      </c>
      <c r="R61" s="16">
        <f t="shared" ca="1" si="6"/>
        <v>1.857022006601906E-2</v>
      </c>
      <c r="S61" s="41">
        <f t="shared" ca="1" si="2"/>
        <v>5.0686178294463133E-2</v>
      </c>
      <c r="T61" s="110">
        <f t="shared" ca="1" si="7"/>
        <v>7.1381517888473356E-2</v>
      </c>
    </row>
    <row r="62" spans="14:20" x14ac:dyDescent="0.3">
      <c r="N62">
        <v>59</v>
      </c>
      <c r="O62" s="16">
        <f t="shared" ca="1" si="5"/>
        <v>3.2772961709407071E-2</v>
      </c>
      <c r="R62" s="16">
        <f t="shared" ca="1" si="6"/>
        <v>1.8272701727184142E-2</v>
      </c>
      <c r="S62" s="41">
        <f t="shared" ca="1" si="2"/>
        <v>5.1045663436591213E-2</v>
      </c>
      <c r="T62" s="110">
        <f t="shared" ca="1" si="7"/>
        <v>7.2107621433215696E-2</v>
      </c>
    </row>
    <row r="63" spans="14:20" x14ac:dyDescent="0.3">
      <c r="N63">
        <v>60</v>
      </c>
      <c r="O63" s="16">
        <f t="shared" ca="1" si="5"/>
        <v>3.3429965190370066E-2</v>
      </c>
      <c r="R63" s="16">
        <f t="shared" ca="1" si="6"/>
        <v>1.7975183388349223E-2</v>
      </c>
      <c r="S63" s="41">
        <f t="shared" ca="1" si="2"/>
        <v>5.1405148578719292E-2</v>
      </c>
      <c r="T63" s="110">
        <f t="shared" ca="1" si="7"/>
        <v>7.2833845466916403E-2</v>
      </c>
    </row>
    <row r="64" spans="14:20" x14ac:dyDescent="0.3">
      <c r="N64">
        <v>61</v>
      </c>
      <c r="O64" s="16">
        <f t="shared" ca="1" si="5"/>
        <v>3.4086968671333061E-2</v>
      </c>
      <c r="R64" s="16">
        <f t="shared" ca="1" si="6"/>
        <v>1.7677665049514305E-2</v>
      </c>
      <c r="S64" s="41">
        <f t="shared" ca="1" si="2"/>
        <v>5.1764633720847365E-2</v>
      </c>
      <c r="T64" s="110">
        <f t="shared" ca="1" si="7"/>
        <v>7.356018990635893E-2</v>
      </c>
    </row>
    <row r="65" spans="14:20" x14ac:dyDescent="0.3">
      <c r="N65">
        <v>62</v>
      </c>
      <c r="O65" s="16">
        <f t="shared" ca="1" si="5"/>
        <v>3.4743972152296056E-2</v>
      </c>
      <c r="R65" s="16">
        <f t="shared" ca="1" si="6"/>
        <v>1.7380146710679386E-2</v>
      </c>
      <c r="S65" s="41">
        <f t="shared" ca="1" si="2"/>
        <v>5.2124118862975438E-2</v>
      </c>
      <c r="T65" s="110">
        <f t="shared" ca="1" si="7"/>
        <v>7.4286654668391794E-2</v>
      </c>
    </row>
    <row r="66" spans="14:20" x14ac:dyDescent="0.3">
      <c r="N66">
        <v>63</v>
      </c>
      <c r="O66" s="16">
        <f t="shared" ref="O66:O97" ca="1" si="8">IF(N66&gt;=ult_rate_year,ult_rate,(ult_rate-$O$33)/(ult_rate_year-obs_period)+O65)</f>
        <v>3.5400975633259051E-2</v>
      </c>
      <c r="R66" s="16">
        <f t="shared" ref="R66:R97" ca="1" si="9">IF(N66&gt;=ult_rate_year,liq_prem_ult,(liq_prem_ult-$R$33)/(ult_rate_year-obs_period)+R65)</f>
        <v>1.7082628371844467E-2</v>
      </c>
      <c r="S66" s="41">
        <f t="shared" ca="1" si="2"/>
        <v>5.2483604005103518E-2</v>
      </c>
      <c r="T66" s="110">
        <f t="shared" ca="1" si="7"/>
        <v>7.501323966989748E-2</v>
      </c>
    </row>
    <row r="67" spans="14:20" x14ac:dyDescent="0.3">
      <c r="N67">
        <v>64</v>
      </c>
      <c r="O67" s="16">
        <f t="shared" ca="1" si="8"/>
        <v>3.6057979114222045E-2</v>
      </c>
      <c r="R67" s="16">
        <f t="shared" ca="1" si="9"/>
        <v>1.6785110033009549E-2</v>
      </c>
      <c r="S67" s="41">
        <f t="shared" ca="1" si="2"/>
        <v>5.2843089147231598E-2</v>
      </c>
      <c r="T67" s="110">
        <f t="shared" ca="1" si="7"/>
        <v>7.5739944827915018E-2</v>
      </c>
    </row>
    <row r="68" spans="14:20" x14ac:dyDescent="0.3">
      <c r="N68">
        <v>65</v>
      </c>
      <c r="O68" s="16">
        <f t="shared" ca="1" si="8"/>
        <v>3.671498259518504E-2</v>
      </c>
      <c r="R68" s="16">
        <f t="shared" ca="1" si="9"/>
        <v>1.648759169417463E-2</v>
      </c>
      <c r="S68" s="41">
        <f t="shared" ca="1" si="2"/>
        <v>5.3202574289359671E-2</v>
      </c>
      <c r="T68" s="110">
        <f t="shared" ca="1" si="7"/>
        <v>7.646677005947855E-2</v>
      </c>
    </row>
    <row r="69" spans="14:20" x14ac:dyDescent="0.3">
      <c r="N69">
        <v>66</v>
      </c>
      <c r="O69" s="16">
        <f t="shared" ca="1" si="8"/>
        <v>3.7371986076148035E-2</v>
      </c>
      <c r="R69" s="16">
        <f t="shared" ca="1" si="9"/>
        <v>1.6190073355339712E-2</v>
      </c>
      <c r="S69" s="41">
        <f t="shared" ref="S69:S103" ca="1" si="10">O69+R69</f>
        <v>5.3562059431487744E-2</v>
      </c>
      <c r="T69" s="110">
        <f t="shared" ca="1" si="7"/>
        <v>7.7193715281762998E-2</v>
      </c>
    </row>
    <row r="70" spans="14:20" x14ac:dyDescent="0.3">
      <c r="N70">
        <v>67</v>
      </c>
      <c r="O70" s="16">
        <f t="shared" ca="1" si="8"/>
        <v>3.802898955711103E-2</v>
      </c>
      <c r="R70" s="16">
        <f t="shared" ca="1" si="9"/>
        <v>1.5892555016504793E-2</v>
      </c>
      <c r="S70" s="41">
        <f t="shared" ca="1" si="10"/>
        <v>5.3921544573615823E-2</v>
      </c>
      <c r="T70" s="110">
        <f t="shared" ca="1" si="7"/>
        <v>7.7920780411919299E-2</v>
      </c>
    </row>
    <row r="71" spans="14:20" x14ac:dyDescent="0.3">
      <c r="N71">
        <v>68</v>
      </c>
      <c r="O71" s="16">
        <f t="shared" ca="1" si="8"/>
        <v>3.8685993038074025E-2</v>
      </c>
      <c r="R71" s="16">
        <f t="shared" ca="1" si="9"/>
        <v>1.5595036677669873E-2</v>
      </c>
      <c r="S71" s="41">
        <f t="shared" ca="1" si="10"/>
        <v>5.4281029715743896E-2</v>
      </c>
      <c r="T71" s="110">
        <f t="shared" ca="1" si="7"/>
        <v>7.8647965367260486E-2</v>
      </c>
    </row>
    <row r="72" spans="14:20" x14ac:dyDescent="0.3">
      <c r="N72">
        <v>69</v>
      </c>
      <c r="O72" s="16">
        <f t="shared" ca="1" si="8"/>
        <v>3.934299651903702E-2</v>
      </c>
      <c r="R72" s="16">
        <f t="shared" ca="1" si="9"/>
        <v>1.5297518338834953E-2</v>
      </c>
      <c r="S72" s="41">
        <f t="shared" ca="1" si="10"/>
        <v>5.4640514857871969E-2</v>
      </c>
      <c r="T72" s="110">
        <f t="shared" ca="1" si="7"/>
        <v>7.9375270065147774E-2</v>
      </c>
    </row>
    <row r="73" spans="14:20" x14ac:dyDescent="0.3">
      <c r="N73">
        <v>70</v>
      </c>
      <c r="O73" s="16">
        <f t="shared" si="8"/>
        <v>0.04</v>
      </c>
      <c r="R73" s="16">
        <f t="shared" si="9"/>
        <v>1.4999999999999999E-2</v>
      </c>
      <c r="S73" s="41">
        <f t="shared" si="10"/>
        <v>5.5E-2</v>
      </c>
      <c r="T73" s="110">
        <f t="shared" ca="1" si="7"/>
        <v>8.01026944229839E-2</v>
      </c>
    </row>
    <row r="74" spans="14:20" x14ac:dyDescent="0.3">
      <c r="N74">
        <v>71</v>
      </c>
      <c r="O74" s="16">
        <f t="shared" si="8"/>
        <v>0.04</v>
      </c>
      <c r="R74" s="16">
        <f t="shared" si="9"/>
        <v>1.4999999999999999E-2</v>
      </c>
      <c r="S74" s="41">
        <f t="shared" si="10"/>
        <v>5.5E-2</v>
      </c>
      <c r="T74" s="110">
        <f t="shared" si="7"/>
        <v>5.4999999999999716E-2</v>
      </c>
    </row>
    <row r="75" spans="14:20" x14ac:dyDescent="0.3">
      <c r="N75">
        <v>72</v>
      </c>
      <c r="O75" s="16">
        <f t="shared" si="8"/>
        <v>0.04</v>
      </c>
      <c r="R75" s="16">
        <f t="shared" si="9"/>
        <v>1.4999999999999999E-2</v>
      </c>
      <c r="S75" s="41">
        <f t="shared" si="10"/>
        <v>5.5E-2</v>
      </c>
      <c r="T75" s="110">
        <f t="shared" si="7"/>
        <v>5.500000000000016E-2</v>
      </c>
    </row>
    <row r="76" spans="14:20" x14ac:dyDescent="0.3">
      <c r="N76">
        <v>73</v>
      </c>
      <c r="O76" s="16">
        <f t="shared" si="8"/>
        <v>0.04</v>
      </c>
      <c r="R76" s="16">
        <f t="shared" si="9"/>
        <v>1.4999999999999999E-2</v>
      </c>
      <c r="S76" s="41">
        <f t="shared" si="10"/>
        <v>5.5E-2</v>
      </c>
      <c r="T76" s="110">
        <f t="shared" si="7"/>
        <v>5.4999999999999938E-2</v>
      </c>
    </row>
    <row r="77" spans="14:20" x14ac:dyDescent="0.3">
      <c r="N77">
        <v>74</v>
      </c>
      <c r="O77" s="16">
        <f t="shared" si="8"/>
        <v>0.04</v>
      </c>
      <c r="R77" s="16">
        <f t="shared" si="9"/>
        <v>1.4999999999999999E-2</v>
      </c>
      <c r="S77" s="41">
        <f t="shared" si="10"/>
        <v>5.5E-2</v>
      </c>
      <c r="T77" s="110">
        <f t="shared" si="7"/>
        <v>5.500000000000016E-2</v>
      </c>
    </row>
    <row r="78" spans="14:20" x14ac:dyDescent="0.3">
      <c r="N78">
        <v>75</v>
      </c>
      <c r="O78" s="16">
        <f t="shared" si="8"/>
        <v>0.04</v>
      </c>
      <c r="R78" s="16">
        <f t="shared" si="9"/>
        <v>1.4999999999999999E-2</v>
      </c>
      <c r="S78" s="41">
        <f t="shared" si="10"/>
        <v>5.5E-2</v>
      </c>
      <c r="T78" s="110">
        <f t="shared" si="7"/>
        <v>5.4999999999999938E-2</v>
      </c>
    </row>
    <row r="79" spans="14:20" x14ac:dyDescent="0.3">
      <c r="N79">
        <v>76</v>
      </c>
      <c r="O79" s="16">
        <f t="shared" si="8"/>
        <v>0.04</v>
      </c>
      <c r="R79" s="16">
        <f t="shared" si="9"/>
        <v>1.4999999999999999E-2</v>
      </c>
      <c r="S79" s="41">
        <f t="shared" si="10"/>
        <v>5.5E-2</v>
      </c>
      <c r="T79" s="110">
        <f t="shared" si="7"/>
        <v>5.4999999999999938E-2</v>
      </c>
    </row>
    <row r="80" spans="14:20" x14ac:dyDescent="0.3">
      <c r="N80">
        <v>77</v>
      </c>
      <c r="O80" s="16">
        <f t="shared" si="8"/>
        <v>0.04</v>
      </c>
      <c r="R80" s="16">
        <f t="shared" si="9"/>
        <v>1.4999999999999999E-2</v>
      </c>
      <c r="S80" s="41">
        <f t="shared" si="10"/>
        <v>5.5E-2</v>
      </c>
      <c r="T80" s="110">
        <f t="shared" si="7"/>
        <v>5.4999999999999938E-2</v>
      </c>
    </row>
    <row r="81" spans="14:20" x14ac:dyDescent="0.3">
      <c r="N81">
        <v>78</v>
      </c>
      <c r="O81" s="16">
        <f t="shared" si="8"/>
        <v>0.04</v>
      </c>
      <c r="R81" s="16">
        <f t="shared" si="9"/>
        <v>1.4999999999999999E-2</v>
      </c>
      <c r="S81" s="41">
        <f t="shared" si="10"/>
        <v>5.5E-2</v>
      </c>
      <c r="T81" s="110">
        <f t="shared" si="7"/>
        <v>5.4999999999999938E-2</v>
      </c>
    </row>
    <row r="82" spans="14:20" x14ac:dyDescent="0.3">
      <c r="N82">
        <v>79</v>
      </c>
      <c r="O82" s="16">
        <f t="shared" si="8"/>
        <v>0.04</v>
      </c>
      <c r="R82" s="16">
        <f t="shared" si="9"/>
        <v>1.4999999999999999E-2</v>
      </c>
      <c r="S82" s="41">
        <f t="shared" si="10"/>
        <v>5.5E-2</v>
      </c>
      <c r="T82" s="110">
        <f t="shared" si="7"/>
        <v>5.4999999999999938E-2</v>
      </c>
    </row>
    <row r="83" spans="14:20" x14ac:dyDescent="0.3">
      <c r="N83">
        <v>80</v>
      </c>
      <c r="O83" s="16">
        <f t="shared" si="8"/>
        <v>0.04</v>
      </c>
      <c r="R83" s="16">
        <f t="shared" si="9"/>
        <v>1.4999999999999999E-2</v>
      </c>
      <c r="S83" s="41">
        <f t="shared" si="10"/>
        <v>5.5E-2</v>
      </c>
      <c r="T83" s="110">
        <f t="shared" si="7"/>
        <v>5.4999999999999938E-2</v>
      </c>
    </row>
    <row r="84" spans="14:20" x14ac:dyDescent="0.3">
      <c r="N84">
        <v>81</v>
      </c>
      <c r="O84" s="16">
        <f t="shared" si="8"/>
        <v>0.04</v>
      </c>
      <c r="R84" s="16">
        <f t="shared" si="9"/>
        <v>1.4999999999999999E-2</v>
      </c>
      <c r="S84" s="41">
        <f t="shared" si="10"/>
        <v>5.5E-2</v>
      </c>
      <c r="T84" s="110">
        <f t="shared" si="7"/>
        <v>5.4999999999999938E-2</v>
      </c>
    </row>
    <row r="85" spans="14:20" x14ac:dyDescent="0.3">
      <c r="N85">
        <v>82</v>
      </c>
      <c r="O85" s="16">
        <f t="shared" si="8"/>
        <v>0.04</v>
      </c>
      <c r="R85" s="16">
        <f t="shared" si="9"/>
        <v>1.4999999999999999E-2</v>
      </c>
      <c r="S85" s="41">
        <f t="shared" si="10"/>
        <v>5.5E-2</v>
      </c>
      <c r="T85" s="110">
        <f t="shared" si="7"/>
        <v>5.4999999999999938E-2</v>
      </c>
    </row>
    <row r="86" spans="14:20" x14ac:dyDescent="0.3">
      <c r="N86">
        <v>83</v>
      </c>
      <c r="O86" s="16">
        <f t="shared" si="8"/>
        <v>0.04</v>
      </c>
      <c r="R86" s="16">
        <f t="shared" si="9"/>
        <v>1.4999999999999999E-2</v>
      </c>
      <c r="S86" s="41">
        <f t="shared" si="10"/>
        <v>5.5E-2</v>
      </c>
      <c r="T86" s="110">
        <f t="shared" si="7"/>
        <v>5.4999999999999938E-2</v>
      </c>
    </row>
    <row r="87" spans="14:20" x14ac:dyDescent="0.3">
      <c r="N87">
        <v>84</v>
      </c>
      <c r="O87" s="16">
        <f t="shared" si="8"/>
        <v>0.04</v>
      </c>
      <c r="R87" s="16">
        <f t="shared" si="9"/>
        <v>1.4999999999999999E-2</v>
      </c>
      <c r="S87" s="41">
        <f t="shared" si="10"/>
        <v>5.5E-2</v>
      </c>
      <c r="T87" s="110">
        <f t="shared" si="7"/>
        <v>5.500000000000016E-2</v>
      </c>
    </row>
    <row r="88" spans="14:20" x14ac:dyDescent="0.3">
      <c r="N88">
        <v>85</v>
      </c>
      <c r="O88" s="16">
        <f t="shared" si="8"/>
        <v>0.04</v>
      </c>
      <c r="R88" s="16">
        <f t="shared" si="9"/>
        <v>1.4999999999999999E-2</v>
      </c>
      <c r="S88" s="41">
        <f t="shared" si="10"/>
        <v>5.5E-2</v>
      </c>
      <c r="T88" s="110">
        <f t="shared" si="7"/>
        <v>5.4999999999999938E-2</v>
      </c>
    </row>
    <row r="89" spans="14:20" x14ac:dyDescent="0.3">
      <c r="N89">
        <v>86</v>
      </c>
      <c r="O89" s="16">
        <f t="shared" si="8"/>
        <v>0.04</v>
      </c>
      <c r="R89" s="16">
        <f t="shared" si="9"/>
        <v>1.4999999999999999E-2</v>
      </c>
      <c r="S89" s="41">
        <f t="shared" si="10"/>
        <v>5.5E-2</v>
      </c>
      <c r="T89" s="110">
        <f t="shared" si="7"/>
        <v>5.4999999999999938E-2</v>
      </c>
    </row>
    <row r="90" spans="14:20" x14ac:dyDescent="0.3">
      <c r="N90">
        <v>87</v>
      </c>
      <c r="O90" s="16">
        <f t="shared" si="8"/>
        <v>0.04</v>
      </c>
      <c r="R90" s="16">
        <f t="shared" si="9"/>
        <v>1.4999999999999999E-2</v>
      </c>
      <c r="S90" s="41">
        <f t="shared" si="10"/>
        <v>5.5E-2</v>
      </c>
      <c r="T90" s="110">
        <f t="shared" si="7"/>
        <v>5.4999999999999938E-2</v>
      </c>
    </row>
    <row r="91" spans="14:20" x14ac:dyDescent="0.3">
      <c r="N91">
        <v>88</v>
      </c>
      <c r="O91" s="16">
        <f t="shared" si="8"/>
        <v>0.04</v>
      </c>
      <c r="R91" s="16">
        <f t="shared" si="9"/>
        <v>1.4999999999999999E-2</v>
      </c>
      <c r="S91" s="41">
        <f t="shared" si="10"/>
        <v>5.5E-2</v>
      </c>
      <c r="T91" s="110">
        <f t="shared" si="7"/>
        <v>5.4999999999999938E-2</v>
      </c>
    </row>
    <row r="92" spans="14:20" x14ac:dyDescent="0.3">
      <c r="N92">
        <v>89</v>
      </c>
      <c r="O92" s="16">
        <f t="shared" si="8"/>
        <v>0.04</v>
      </c>
      <c r="R92" s="16">
        <f t="shared" si="9"/>
        <v>1.4999999999999999E-2</v>
      </c>
      <c r="S92" s="41">
        <f t="shared" si="10"/>
        <v>5.5E-2</v>
      </c>
      <c r="T92" s="110">
        <f t="shared" si="7"/>
        <v>5.4999999999999938E-2</v>
      </c>
    </row>
    <row r="93" spans="14:20" x14ac:dyDescent="0.3">
      <c r="N93">
        <v>90</v>
      </c>
      <c r="O93" s="16">
        <f t="shared" si="8"/>
        <v>0.04</v>
      </c>
      <c r="R93" s="16">
        <f t="shared" si="9"/>
        <v>1.4999999999999999E-2</v>
      </c>
      <c r="S93" s="41">
        <f t="shared" si="10"/>
        <v>5.5E-2</v>
      </c>
      <c r="T93" s="110">
        <f t="shared" si="7"/>
        <v>5.500000000000016E-2</v>
      </c>
    </row>
    <row r="94" spans="14:20" x14ac:dyDescent="0.3">
      <c r="N94">
        <v>91</v>
      </c>
      <c r="O94" s="16">
        <f t="shared" si="8"/>
        <v>0.04</v>
      </c>
      <c r="R94" s="16">
        <f t="shared" si="9"/>
        <v>1.4999999999999999E-2</v>
      </c>
      <c r="S94" s="41">
        <f t="shared" si="10"/>
        <v>5.5E-2</v>
      </c>
      <c r="T94" s="110">
        <f t="shared" si="7"/>
        <v>5.4999999999999938E-2</v>
      </c>
    </row>
    <row r="95" spans="14:20" x14ac:dyDescent="0.3">
      <c r="N95">
        <v>92</v>
      </c>
      <c r="O95" s="16">
        <f t="shared" si="8"/>
        <v>0.04</v>
      </c>
      <c r="R95" s="16">
        <f t="shared" si="9"/>
        <v>1.4999999999999999E-2</v>
      </c>
      <c r="S95" s="41">
        <f t="shared" si="10"/>
        <v>5.5E-2</v>
      </c>
      <c r="T95" s="110">
        <f t="shared" si="7"/>
        <v>5.4999999999999938E-2</v>
      </c>
    </row>
    <row r="96" spans="14:20" x14ac:dyDescent="0.3">
      <c r="N96">
        <v>93</v>
      </c>
      <c r="O96" s="16">
        <f t="shared" si="8"/>
        <v>0.04</v>
      </c>
      <c r="R96" s="16">
        <f t="shared" si="9"/>
        <v>1.4999999999999999E-2</v>
      </c>
      <c r="S96" s="41">
        <f t="shared" si="10"/>
        <v>5.5E-2</v>
      </c>
      <c r="T96" s="110">
        <f t="shared" si="7"/>
        <v>5.4999999999999716E-2</v>
      </c>
    </row>
    <row r="97" spans="14:20" x14ac:dyDescent="0.3">
      <c r="N97">
        <v>94</v>
      </c>
      <c r="O97" s="16">
        <f t="shared" si="8"/>
        <v>0.04</v>
      </c>
      <c r="R97" s="16">
        <f t="shared" si="9"/>
        <v>1.4999999999999999E-2</v>
      </c>
      <c r="S97" s="41">
        <f t="shared" si="10"/>
        <v>5.5E-2</v>
      </c>
      <c r="T97" s="110">
        <f t="shared" si="7"/>
        <v>5.4999999999999938E-2</v>
      </c>
    </row>
    <row r="98" spans="14:20" x14ac:dyDescent="0.3">
      <c r="N98">
        <v>95</v>
      </c>
      <c r="O98" s="16">
        <f t="shared" ref="O98:O103" si="11">IF(N98&gt;=ult_rate_year,ult_rate,(ult_rate-$O$33)/(ult_rate_year-obs_period)+O97)</f>
        <v>0.04</v>
      </c>
      <c r="R98" s="16">
        <f t="shared" ref="R98:R103" si="12">IF(N98&gt;=ult_rate_year,liq_prem_ult,(liq_prem_ult-$R$33)/(ult_rate_year-obs_period)+R97)</f>
        <v>1.4999999999999999E-2</v>
      </c>
      <c r="S98" s="41">
        <f t="shared" si="10"/>
        <v>5.5E-2</v>
      </c>
      <c r="T98" s="110">
        <f t="shared" ref="T98:T103" si="13">((1+S98)^N98)/((1+S97)^N97)-1</f>
        <v>5.4999999999999938E-2</v>
      </c>
    </row>
    <row r="99" spans="14:20" x14ac:dyDescent="0.3">
      <c r="N99">
        <v>96</v>
      </c>
      <c r="O99" s="16">
        <f t="shared" si="11"/>
        <v>0.04</v>
      </c>
      <c r="R99" s="16">
        <f t="shared" si="12"/>
        <v>1.4999999999999999E-2</v>
      </c>
      <c r="S99" s="41">
        <f t="shared" si="10"/>
        <v>5.5E-2</v>
      </c>
      <c r="T99" s="110">
        <f t="shared" si="13"/>
        <v>5.4999999999999938E-2</v>
      </c>
    </row>
    <row r="100" spans="14:20" x14ac:dyDescent="0.3">
      <c r="N100">
        <v>97</v>
      </c>
      <c r="O100" s="16">
        <f t="shared" si="11"/>
        <v>0.04</v>
      </c>
      <c r="R100" s="16">
        <f t="shared" si="12"/>
        <v>1.4999999999999999E-2</v>
      </c>
      <c r="S100" s="41">
        <f t="shared" si="10"/>
        <v>5.5E-2</v>
      </c>
      <c r="T100" s="110">
        <f t="shared" si="13"/>
        <v>5.4999999999999938E-2</v>
      </c>
    </row>
    <row r="101" spans="14:20" x14ac:dyDescent="0.3">
      <c r="N101">
        <v>98</v>
      </c>
      <c r="O101" s="16">
        <f t="shared" si="11"/>
        <v>0.04</v>
      </c>
      <c r="R101" s="16">
        <f t="shared" si="12"/>
        <v>1.4999999999999999E-2</v>
      </c>
      <c r="S101" s="41">
        <f t="shared" si="10"/>
        <v>5.5E-2</v>
      </c>
      <c r="T101" s="110">
        <f t="shared" si="13"/>
        <v>5.4999999999999938E-2</v>
      </c>
    </row>
    <row r="102" spans="14:20" x14ac:dyDescent="0.3">
      <c r="N102">
        <v>99</v>
      </c>
      <c r="O102" s="16">
        <f t="shared" si="11"/>
        <v>0.04</v>
      </c>
      <c r="R102" s="16">
        <f t="shared" si="12"/>
        <v>1.4999999999999999E-2</v>
      </c>
      <c r="S102" s="41">
        <f t="shared" si="10"/>
        <v>5.5E-2</v>
      </c>
      <c r="T102" s="110">
        <f t="shared" si="13"/>
        <v>5.4999999999999716E-2</v>
      </c>
    </row>
    <row r="103" spans="14:20" x14ac:dyDescent="0.3">
      <c r="N103">
        <v>100</v>
      </c>
      <c r="O103" s="16">
        <f t="shared" si="11"/>
        <v>0.04</v>
      </c>
      <c r="R103" s="16">
        <f t="shared" si="12"/>
        <v>1.4999999999999999E-2</v>
      </c>
      <c r="S103" s="41">
        <f t="shared" si="10"/>
        <v>5.5E-2</v>
      </c>
      <c r="T103" s="110">
        <f t="shared" si="13"/>
        <v>5.500000000000016E-2</v>
      </c>
    </row>
  </sheetData>
  <sheetProtection sheet="1" objects="1" scenarios="1"/>
  <conditionalFormatting sqref="K16">
    <cfRule type="expression" dxfId="5" priority="2">
      <formula>$K$16&lt;&gt;100%</formula>
    </cfRule>
  </conditionalFormatting>
  <conditionalFormatting sqref="C7">
    <cfRule type="expression" dxfId="4" priority="1">
      <formula>$C$7&lt;=$C$5</formula>
    </cfRule>
  </conditionalFormatting>
  <dataValidations xWindow="275" yWindow="641" count="8">
    <dataValidation type="whole" operator="equal" allowBlank="1" showInputMessage="1" showErrorMessage="1" errorTitle="Observable Period" error="Input value must be 30." promptTitle="Durée de la période observable" prompt="La période observable a été établie à 30 ans." sqref="C5" xr:uid="{00000000-0002-0000-0200-000000000000}">
      <formula1>30</formula1>
    </dataValidation>
    <dataValidation type="list" allowBlank="1" showDropDown="1" showInputMessage="1" showErrorMessage="1" promptTitle="Type de taux d'intérêt" prompt="Veuillez choisir le type de courbe à construire." sqref="C4" xr:uid="{00000000-0002-0000-0200-000001000000}">
      <formula1>"Au comptant"</formula1>
    </dataValidation>
    <dataValidation type="whole" operator="equal" allowBlank="1" showInputMessage="1" showErrorMessage="1" errorTitle="Ultimate Rate Timing" error="Input value must be 70." promptTitle="Durée du taux ultime" prompt="Veuillez entrer un nombre entier pour préciser la durée à laquelle le taux ultime s'applique.  La durée du taux ultime doit être supérieure à la durée de la période observable." sqref="C7" xr:uid="{00000000-0002-0000-0200-000002000000}">
      <formula1>70</formula1>
    </dataValidation>
    <dataValidation type="decimal" operator="equal" allowBlank="1" showInputMessage="1" showErrorMessage="1" errorTitle="Ultimate Rate" error="Input value must be 4.00%" promptTitle="Taux sans risque ultime" prompt="Veuillez entrer le taux sans risque ultime, lequel sera utilisé à partir de la durée à laquelle la période ultime s'applique._x000a_" sqref="C6" xr:uid="{00000000-0002-0000-0200-000003000000}">
      <formula1>0.04</formula1>
    </dataValidation>
    <dataValidation type="decimal" operator="equal" allowBlank="1" showInputMessage="1" showErrorMessage="1" errorTitle="Liquidity Spread Ratio" error="Input value must be 75%." promptTitle="Ratio de l'écart de liquidité" prompt="Veuillez entrer le ratio de l'écart de liquidité. Ceci est la proportion de l'écart de crédit du portefeuille de référence correspondant à la liquidité." sqref="C8" xr:uid="{00000000-0002-0000-0200-000004000000}">
      <formula1>0.75</formula1>
    </dataValidation>
    <dataValidation type="decimal" operator="equal" allowBlank="1" showInputMessage="1" showErrorMessage="1" errorTitle="Liquidity Premium Constant" error="Input value must be 0.5%." promptTitle="Constante de prime de liquidité" prompt="Ajustement additionel reflétant l'écart entre les caractéristiques de liquidité des contrats d'assurance et les actifs du portefeuille de référence." sqref="C9" xr:uid="{00000000-0002-0000-0200-000005000000}">
      <formula1>0.005</formula1>
    </dataValidation>
    <dataValidation type="decimal" operator="equal" allowBlank="1" showInputMessage="1" showErrorMessage="1" errorTitle="Ultimate Liquidity Premium" error="Input value must be 1.50%" promptTitle="Prime de liquidité ultime" prompt="Prime de liquidité ultime s'appliquant à la durée à partir de laquelle le taux ultime s'applique.  " sqref="C10" xr:uid="{00000000-0002-0000-0200-000006000000}">
      <formula1>0.015</formula1>
    </dataValidation>
    <dataValidation type="list" allowBlank="1" showDropDown="1" showInputMessage="1" showErrorMessage="1" promptTitle="Méthode d'interpolation" prompt="Une méthode d'interpolation linéaire est utilisée pour les courbes de référence._x000a_" sqref="C11" xr:uid="{00000000-0002-0000-0200-000007000000}">
      <formula1>"Linéaire"</formula1>
    </dataValidation>
  </dataValidations>
  <pageMargins left="0.7" right="0.7" top="0.75" bottom="0.75" header="0.3" footer="0.3"/>
  <pageSetup orientation="portrait" r:id="rId1"/>
  <headerFooter>
    <oddHeader>&amp;C&amp;G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64"/>
  <sheetViews>
    <sheetView showGridLines="0" view="pageLayout" zoomScaleNormal="75" workbookViewId="0">
      <selection activeCell="F3" sqref="F3"/>
    </sheetView>
  </sheetViews>
  <sheetFormatPr defaultColWidth="9.21875" defaultRowHeight="14.4" x14ac:dyDescent="0.3"/>
  <cols>
    <col min="2" max="2" width="2.77734375" customWidth="1"/>
    <col min="3" max="3" width="8.77734375" bestFit="1" customWidth="1"/>
    <col min="4" max="5" width="11.44140625" customWidth="1"/>
    <col min="6" max="6" width="13.21875" bestFit="1" customWidth="1"/>
    <col min="7" max="7" width="11.44140625" customWidth="1"/>
    <col min="9" max="9" width="7.21875" bestFit="1" customWidth="1"/>
    <col min="10" max="11" width="11.44140625" customWidth="1"/>
    <col min="12" max="12" width="2.77734375" customWidth="1"/>
    <col min="13" max="13" width="3.21875" customWidth="1"/>
    <col min="14" max="14" width="5.21875" customWidth="1"/>
    <col min="15" max="15" width="8.77734375" bestFit="1" customWidth="1"/>
    <col min="16" max="17" width="11.44140625" customWidth="1"/>
    <col min="18" max="18" width="13.21875" bestFit="1" customWidth="1"/>
    <col min="19" max="19" width="11.44140625" customWidth="1"/>
    <col min="21" max="21" width="8.21875" customWidth="1"/>
    <col min="22" max="23" width="11.44140625" customWidth="1"/>
    <col min="24" max="24" width="4.21875" customWidth="1"/>
    <col min="25" max="26" width="11.44140625" customWidth="1"/>
  </cols>
  <sheetData>
    <row r="1" spans="1:26" ht="18" x14ac:dyDescent="0.35">
      <c r="A1" s="2" t="s">
        <v>47</v>
      </c>
      <c r="B1" s="2"/>
    </row>
    <row r="2" spans="1:26" ht="15" thickBot="1" x14ac:dyDescent="0.35"/>
    <row r="3" spans="1:26" ht="15" thickBot="1" x14ac:dyDescent="0.35">
      <c r="C3" s="30" t="s">
        <v>26</v>
      </c>
      <c r="D3" s="31"/>
      <c r="E3" s="31"/>
      <c r="F3" s="31"/>
      <c r="G3" s="31"/>
      <c r="H3" s="31"/>
      <c r="I3" s="31"/>
      <c r="J3" s="31"/>
      <c r="K3" s="32"/>
      <c r="O3" s="33" t="s">
        <v>32</v>
      </c>
      <c r="P3" s="34"/>
      <c r="Q3" s="34"/>
      <c r="R3" s="34"/>
      <c r="S3" s="34"/>
      <c r="T3" s="34"/>
      <c r="U3" s="34"/>
      <c r="V3" s="34"/>
      <c r="W3" s="35"/>
      <c r="Y3" s="33" t="s">
        <v>40</v>
      </c>
      <c r="Z3" s="35"/>
    </row>
    <row r="4" spans="1:26" ht="43.8" thickBot="1" x14ac:dyDescent="0.35">
      <c r="C4" s="3" t="s">
        <v>33</v>
      </c>
      <c r="D4" s="3" t="s">
        <v>34</v>
      </c>
      <c r="E4" s="3" t="s">
        <v>35</v>
      </c>
      <c r="F4" s="3" t="s">
        <v>36</v>
      </c>
      <c r="G4" s="43" t="s">
        <v>37</v>
      </c>
      <c r="I4" s="3" t="s">
        <v>25</v>
      </c>
      <c r="J4" s="43" t="s">
        <v>38</v>
      </c>
      <c r="K4" s="43" t="s">
        <v>39</v>
      </c>
      <c r="O4" s="3" t="s">
        <v>33</v>
      </c>
      <c r="P4" s="3" t="s">
        <v>34</v>
      </c>
      <c r="Q4" s="3" t="s">
        <v>35</v>
      </c>
      <c r="R4" s="3" t="s">
        <v>36</v>
      </c>
      <c r="S4" s="43" t="s">
        <v>37</v>
      </c>
      <c r="U4" s="3" t="s">
        <v>25</v>
      </c>
      <c r="V4" s="43" t="s">
        <v>38</v>
      </c>
      <c r="W4" s="43" t="s">
        <v>39</v>
      </c>
      <c r="Y4" s="3" t="s">
        <v>31</v>
      </c>
      <c r="Z4" s="3" t="s">
        <v>41</v>
      </c>
    </row>
    <row r="5" spans="1:26" x14ac:dyDescent="0.3">
      <c r="B5" s="4">
        <v>1</v>
      </c>
      <c r="C5" s="3">
        <v>0.5</v>
      </c>
      <c r="D5" s="5">
        <f>VLOOKUP(C5,par_input,2,FALSE)</f>
        <v>4.2599999999999999E-3</v>
      </c>
      <c r="E5" s="8">
        <f>1/(1+G5/2)^B5</f>
        <v>0.9978745272569427</v>
      </c>
      <c r="F5" s="9"/>
      <c r="G5" s="20">
        <f>D5</f>
        <v>4.2599999999999999E-3</v>
      </c>
      <c r="I5" s="17">
        <v>1</v>
      </c>
      <c r="J5" s="21">
        <f>(1+VLOOKUP(I5,$C$5:$G$64,5,FALSE)/2)^2-1</f>
        <v>4.2645368999998379E-3</v>
      </c>
      <c r="K5" s="24">
        <f>J5</f>
        <v>4.2645368999998379E-3</v>
      </c>
      <c r="N5" s="4">
        <v>1</v>
      </c>
      <c r="O5" s="3">
        <v>0.5</v>
      </c>
      <c r="P5" s="38">
        <f>P6</f>
        <v>2.6230000000000003E-2</v>
      </c>
      <c r="Q5" s="8">
        <f>1/(1+S5/2)^N5</f>
        <v>0.98705477660482766</v>
      </c>
      <c r="R5" s="9"/>
      <c r="S5" s="20">
        <f>P5</f>
        <v>2.6230000000000003E-2</v>
      </c>
      <c r="U5" s="17">
        <v>1</v>
      </c>
      <c r="V5" s="21">
        <f>(1+VLOOKUP(U5,$O$5:$S$64,5,FALSE)/2)^2-1</f>
        <v>2.6402003225000081E-2</v>
      </c>
      <c r="W5" s="24">
        <f>V5</f>
        <v>2.6402003225000081E-2</v>
      </c>
      <c r="Y5" s="21">
        <f>V5-J5</f>
        <v>2.2137466325000243E-2</v>
      </c>
      <c r="Z5" s="24">
        <f>W5-K5</f>
        <v>2.2137466325000243E-2</v>
      </c>
    </row>
    <row r="6" spans="1:26" x14ac:dyDescent="0.3">
      <c r="B6" s="4">
        <v>2</v>
      </c>
      <c r="C6" s="3">
        <v>1</v>
      </c>
      <c r="D6" s="6">
        <f>VLOOKUP(C6,par_input,2,FALSE)</f>
        <v>4.2599999999999999E-3</v>
      </c>
      <c r="E6" s="10">
        <f t="shared" ref="E6:E64" si="0">1/(1+G6/2)^B6</f>
        <v>0.9957535721482671</v>
      </c>
      <c r="F6" s="10">
        <f>D6/2*SUM($E$5:E5)</f>
        <v>2.1254727430572878E-3</v>
      </c>
      <c r="G6" s="18">
        <f>(((1+D6/2)/(1-F6))^(1/B6)-1)*2</f>
        <v>4.2599999999999305E-3</v>
      </c>
      <c r="I6" s="17">
        <v>2</v>
      </c>
      <c r="J6" s="22">
        <f t="shared" ref="J6:J34" si="1">(1+VLOOKUP(I6,$C$5:$G$64,5,FALSE)/2)^2-1</f>
        <v>4.5659707931942073E-3</v>
      </c>
      <c r="K6" s="25">
        <f>((1+J6)^I6)/((1+J5)^I5)-1</f>
        <v>4.8674951629399388E-3</v>
      </c>
      <c r="N6" s="4">
        <v>2</v>
      </c>
      <c r="O6" s="3">
        <v>1</v>
      </c>
      <c r="P6" s="6">
        <f>(VLOOKUP(O6,par_input,2,FALSE)+VLOOKUP(O6,spread_input,2,FALSE))</f>
        <v>2.6230000000000003E-2</v>
      </c>
      <c r="Q6" s="10">
        <f t="shared" ref="Q6:Q64" si="2">1/(1+S6/2)^N6</f>
        <v>0.97427713201840616</v>
      </c>
      <c r="R6" s="10">
        <f>P6/2*SUM($Q$5:Q5)</f>
        <v>1.2945223395172316E-2</v>
      </c>
      <c r="S6" s="18">
        <f>(((1+P6/2)/(1-R6))^(1/N6)-1)*2</f>
        <v>2.6229999999999976E-2</v>
      </c>
      <c r="U6" s="17">
        <v>2</v>
      </c>
      <c r="V6" s="22">
        <f t="shared" ref="V6:V34" si="3">(1+VLOOKUP(U6,$O$5:$S$64,5,FALSE)/2)^2-1</f>
        <v>2.7189050512951729E-2</v>
      </c>
      <c r="W6" s="25">
        <f>((1+V6)^U6)/((1+V5)^U5)-1</f>
        <v>2.7976701310475249E-2</v>
      </c>
      <c r="Y6" s="22">
        <f t="shared" ref="Y6:Y34" si="4">V6-J6</f>
        <v>2.2623079719757522E-2</v>
      </c>
      <c r="Z6" s="25">
        <f t="shared" ref="Z6:Z34" si="5">W6-K6</f>
        <v>2.3109206147535311E-2</v>
      </c>
    </row>
    <row r="7" spans="1:26" x14ac:dyDescent="0.3">
      <c r="B7" s="4">
        <v>3</v>
      </c>
      <c r="C7" s="3">
        <v>1.5</v>
      </c>
      <c r="D7" s="12">
        <f>AVERAGE(D6,D8)</f>
        <v>4.4099999999999999E-3</v>
      </c>
      <c r="E7" s="10">
        <f t="shared" si="0"/>
        <v>0.99341357311209944</v>
      </c>
      <c r="F7" s="10">
        <f>D7/2*SUM($E$5:E6)</f>
        <v>4.3959499591884879E-3</v>
      </c>
      <c r="G7" s="18">
        <f t="shared" ref="G7:G64" si="6">(((1+D7/2)/(1-F7))^(1/B7)-1)*2</f>
        <v>4.4103310262340045E-3</v>
      </c>
      <c r="I7" s="17">
        <v>3</v>
      </c>
      <c r="J7" s="22">
        <f t="shared" si="1"/>
        <v>5.1402246110214822E-3</v>
      </c>
      <c r="K7" s="25">
        <f t="shared" ref="K7:K34" si="7">((1+J7)^I7)/((1+J6)^I6)-1</f>
        <v>6.2897172400764312E-3</v>
      </c>
      <c r="N7" s="4">
        <v>3</v>
      </c>
      <c r="O7" s="3">
        <v>1.5</v>
      </c>
      <c r="P7" s="12">
        <f>AVERAGE(P6,P8)</f>
        <v>2.6612500000000004E-2</v>
      </c>
      <c r="Q7" s="10">
        <f t="shared" si="2"/>
        <v>0.96111321457938503</v>
      </c>
      <c r="R7" s="10">
        <f>P7/2*SUM($Q$5:Q6)</f>
        <v>2.6097972709117911E-2</v>
      </c>
      <c r="S7" s="18">
        <f t="shared" ref="S7:S64" si="8">(((1+P7/2)/(1-R7))^(1/N7)-1)*2</f>
        <v>2.661761352648595E-2</v>
      </c>
      <c r="U7" s="17">
        <v>3</v>
      </c>
      <c r="V7" s="22">
        <f t="shared" si="3"/>
        <v>2.809859247350377E-2</v>
      </c>
      <c r="W7" s="25">
        <f t="shared" ref="W7:W34" si="9">((1+V7)^U7)/((1+V6)^U6)-1</f>
        <v>2.9920093215786148E-2</v>
      </c>
      <c r="Y7" s="22">
        <f t="shared" si="4"/>
        <v>2.2958367862482287E-2</v>
      </c>
      <c r="Z7" s="25">
        <f t="shared" si="5"/>
        <v>2.3630375975709716E-2</v>
      </c>
    </row>
    <row r="8" spans="1:26" x14ac:dyDescent="0.3">
      <c r="B8" s="4">
        <v>4</v>
      </c>
      <c r="C8" s="3">
        <v>2</v>
      </c>
      <c r="D8" s="6">
        <f>VLOOKUP(C8,par_input,2,FALSE)</f>
        <v>4.5599999999999998E-3</v>
      </c>
      <c r="E8" s="10">
        <f t="shared" si="0"/>
        <v>0.99093022407576725</v>
      </c>
      <c r="F8" s="10">
        <f>D8/2*SUM($E$5:E7)</f>
        <v>6.8104550133394641E-3</v>
      </c>
      <c r="G8" s="18">
        <f t="shared" si="6"/>
        <v>4.5607706359955813E-3</v>
      </c>
      <c r="I8" s="17">
        <v>4</v>
      </c>
      <c r="J8" s="22">
        <f t="shared" si="1"/>
        <v>5.8479211722266555E-3</v>
      </c>
      <c r="K8" s="25">
        <f t="shared" si="7"/>
        <v>7.9740018985008376E-3</v>
      </c>
      <c r="N8" s="4">
        <v>4</v>
      </c>
      <c r="O8" s="3">
        <v>2</v>
      </c>
      <c r="P8" s="6">
        <f>(VLOOKUP(O8,par_input,2,FALSE)+VLOOKUP(O8,spread_input,2,FALSE))</f>
        <v>2.6995000000000005E-2</v>
      </c>
      <c r="Q8" s="10">
        <f t="shared" si="2"/>
        <v>0.94776188096129788</v>
      </c>
      <c r="R8" s="10">
        <f>P8/2*SUM($Q$5:Q7)</f>
        <v>3.9445703050427355E-2</v>
      </c>
      <c r="S8" s="18">
        <f t="shared" si="8"/>
        <v>2.7006709917805516E-2</v>
      </c>
      <c r="U8" s="17">
        <v>4</v>
      </c>
      <c r="V8" s="22">
        <f>(1+VLOOKUP(U8,$O$5:$S$64,5,FALSE)/2)^2-1</f>
        <v>2.8975956545544079E-2</v>
      </c>
      <c r="W8" s="25">
        <f t="shared" si="9"/>
        <v>3.1612543694852668E-2</v>
      </c>
      <c r="Y8" s="22">
        <f>V8-J8</f>
        <v>2.3128035373317424E-2</v>
      </c>
      <c r="Z8" s="25">
        <f t="shared" si="5"/>
        <v>2.3638541796351831E-2</v>
      </c>
    </row>
    <row r="9" spans="1:26" x14ac:dyDescent="0.3">
      <c r="B9" s="4">
        <v>5</v>
      </c>
      <c r="C9" s="3">
        <v>2.5</v>
      </c>
      <c r="D9" s="12">
        <f>AVERAGE(D8,D10)</f>
        <v>4.8450000000000003E-3</v>
      </c>
      <c r="E9" s="10">
        <f t="shared" si="0"/>
        <v>0.98797000574159421</v>
      </c>
      <c r="F9" s="10">
        <f>D9/2*SUM($E$5:E8)</f>
        <v>9.6366369194967275E-3</v>
      </c>
      <c r="G9" s="18">
        <f t="shared" si="6"/>
        <v>4.8470400794791146E-3</v>
      </c>
      <c r="I9" s="17">
        <v>5</v>
      </c>
      <c r="J9" s="22">
        <f t="shared" si="1"/>
        <v>6.1612764103673445E-3</v>
      </c>
      <c r="K9" s="25">
        <f t="shared" si="7"/>
        <v>7.4156738733737182E-3</v>
      </c>
      <c r="N9" s="4">
        <v>5</v>
      </c>
      <c r="O9" s="3">
        <v>2.5</v>
      </c>
      <c r="P9" s="12">
        <f>AVERAGE(P8,P10)</f>
        <v>2.7432500000000002E-2</v>
      </c>
      <c r="Q9" s="10">
        <f t="shared" si="2"/>
        <v>0.93410288448975365</v>
      </c>
      <c r="R9" s="10">
        <f>P9/2*SUM($Q$5:Q8)</f>
        <v>5.3084726820863327E-2</v>
      </c>
      <c r="S9" s="18">
        <f t="shared" si="8"/>
        <v>2.7454203299583924E-2</v>
      </c>
      <c r="U9" s="17">
        <v>5</v>
      </c>
      <c r="V9" s="22">
        <f t="shared" si="3"/>
        <v>2.968072299105784E-2</v>
      </c>
      <c r="W9" s="25">
        <f t="shared" si="9"/>
        <v>3.2504619168352455E-2</v>
      </c>
      <c r="Y9" s="22">
        <f t="shared" si="4"/>
        <v>2.3519446580690495E-2</v>
      </c>
      <c r="Z9" s="25">
        <f t="shared" si="5"/>
        <v>2.5088945294978737E-2</v>
      </c>
    </row>
    <row r="10" spans="1:26" x14ac:dyDescent="0.3">
      <c r="B10" s="4">
        <v>6</v>
      </c>
      <c r="C10" s="3">
        <v>3</v>
      </c>
      <c r="D10" s="6">
        <f>VLOOKUP(C10,par_input,2,FALSE)</f>
        <v>5.13E-3</v>
      </c>
      <c r="E10" s="10">
        <f t="shared" si="0"/>
        <v>0.98473650987268835</v>
      </c>
      <c r="F10" s="10">
        <f>D10/2*SUM($E$5:E9)</f>
        <v>1.2737640979488431E-2</v>
      </c>
      <c r="G10" s="18">
        <f t="shared" si="6"/>
        <v>5.1336360562319605E-3</v>
      </c>
      <c r="I10" s="17">
        <v>6</v>
      </c>
      <c r="J10" s="22">
        <f t="shared" si="1"/>
        <v>6.4299147069000195E-3</v>
      </c>
      <c r="K10" s="25">
        <f t="shared" si="7"/>
        <v>7.7741824419268468E-3</v>
      </c>
      <c r="N10" s="4">
        <v>6</v>
      </c>
      <c r="O10" s="3">
        <v>3</v>
      </c>
      <c r="P10" s="6">
        <f>(VLOOKUP(O10,par_input,2,FALSE)+VLOOKUP(O10,spread_input,2,FALSE))</f>
        <v>2.7869999999999999E-2</v>
      </c>
      <c r="Q10" s="10">
        <f t="shared" si="2"/>
        <v>0.9202285567631171</v>
      </c>
      <c r="R10" s="10">
        <f>P10/2*SUM($Q$5:Q9)</f>
        <v>6.6948058298388902E-2</v>
      </c>
      <c r="S10" s="18">
        <f t="shared" si="8"/>
        <v>2.7903935075331621E-2</v>
      </c>
      <c r="U10" s="17">
        <v>6</v>
      </c>
      <c r="V10" s="22">
        <f t="shared" si="3"/>
        <v>3.0668336586275213E-2</v>
      </c>
      <c r="W10" s="25">
        <f t="shared" si="9"/>
        <v>3.5620631723245699E-2</v>
      </c>
      <c r="Y10" s="22">
        <f t="shared" si="4"/>
        <v>2.4238421879375194E-2</v>
      </c>
      <c r="Z10" s="25">
        <f t="shared" si="5"/>
        <v>2.7846449281318852E-2</v>
      </c>
    </row>
    <row r="11" spans="1:26" x14ac:dyDescent="0.3">
      <c r="B11" s="4">
        <v>7</v>
      </c>
      <c r="C11" s="3">
        <v>3.5</v>
      </c>
      <c r="D11" s="12">
        <f>AVERAGE(D10,D12)</f>
        <v>5.4799999999999996E-3</v>
      </c>
      <c r="E11" s="10">
        <f t="shared" si="0"/>
        <v>0.98100718147331567</v>
      </c>
      <c r="F11" s="10">
        <f>D11/2*SUM($E$5:E10)</f>
        <v>1.6304858849448163E-2</v>
      </c>
      <c r="G11" s="18">
        <f t="shared" si="6"/>
        <v>5.4862248990712459E-3</v>
      </c>
      <c r="I11" s="17">
        <v>7</v>
      </c>
      <c r="J11" s="22">
        <f t="shared" si="1"/>
        <v>6.6996571431408025E-3</v>
      </c>
      <c r="K11" s="25">
        <f t="shared" si="7"/>
        <v>8.3196306575576973E-3</v>
      </c>
      <c r="N11" s="4">
        <v>7</v>
      </c>
      <c r="O11" s="3">
        <v>3.5</v>
      </c>
      <c r="P11" s="12">
        <f>AVERAGE(P10,P12)</f>
        <v>2.82875E-2</v>
      </c>
      <c r="Q11" s="10">
        <f t="shared" si="2"/>
        <v>0.90621626309153591</v>
      </c>
      <c r="R11" s="10">
        <f>P11/2*SUM($Q$5:Q10)</f>
        <v>8.096644063736369E-2</v>
      </c>
      <c r="S11" s="18">
        <f t="shared" si="8"/>
        <v>2.8335216774888483E-2</v>
      </c>
      <c r="U11" s="17">
        <v>7</v>
      </c>
      <c r="V11" s="22">
        <f t="shared" si="3"/>
        <v>3.1670473479364025E-2</v>
      </c>
      <c r="W11" s="25">
        <f t="shared" si="9"/>
        <v>3.7703790330591236E-2</v>
      </c>
      <c r="Y11" s="22">
        <f t="shared" si="4"/>
        <v>2.4970816336223223E-2</v>
      </c>
      <c r="Z11" s="25">
        <f t="shared" si="5"/>
        <v>2.9384159673033539E-2</v>
      </c>
    </row>
    <row r="12" spans="1:26" x14ac:dyDescent="0.3">
      <c r="B12" s="4">
        <v>8</v>
      </c>
      <c r="C12" s="3">
        <v>4</v>
      </c>
      <c r="D12" s="6">
        <f>VLOOKUP(C12,par_input,2,FALSE)</f>
        <v>5.8299999999999992E-3</v>
      </c>
      <c r="E12" s="10">
        <f t="shared" si="0"/>
        <v>0.9769463379193859</v>
      </c>
      <c r="F12" s="10">
        <f>D12/2*SUM($E$5:E11)</f>
        <v>2.0205863505579166E-2</v>
      </c>
      <c r="G12" s="18">
        <f t="shared" si="6"/>
        <v>5.8393965342555809E-3</v>
      </c>
      <c r="I12" s="17">
        <v>8</v>
      </c>
      <c r="J12" s="22">
        <f t="shared" si="1"/>
        <v>6.76944500168708E-3</v>
      </c>
      <c r="K12" s="25">
        <f t="shared" si="7"/>
        <v>7.2580954924093E-3</v>
      </c>
      <c r="N12" s="4">
        <v>8</v>
      </c>
      <c r="O12" s="3">
        <v>4</v>
      </c>
      <c r="P12" s="6">
        <f>(VLOOKUP(O12,par_input,2,FALSE)+VLOOKUP(O12,spread_input,2,FALSE))</f>
        <v>2.8704999999999998E-2</v>
      </c>
      <c r="Q12" s="10">
        <f t="shared" si="2"/>
        <v>0.89202924333122247</v>
      </c>
      <c r="R12" s="10">
        <f>P12/2*SUM($Q$5:Q11)</f>
        <v>9.5167906953865705E-2</v>
      </c>
      <c r="S12" s="18">
        <f t="shared" si="8"/>
        <v>2.8769042099710429E-2</v>
      </c>
      <c r="U12" s="17">
        <v>8</v>
      </c>
      <c r="V12" s="22">
        <f t="shared" si="3"/>
        <v>3.2432857928471615E-2</v>
      </c>
      <c r="W12" s="25">
        <f t="shared" si="9"/>
        <v>3.7785347252936363E-2</v>
      </c>
      <c r="Y12" s="22">
        <f t="shared" si="4"/>
        <v>2.5663412926784535E-2</v>
      </c>
      <c r="Z12" s="25">
        <f t="shared" si="5"/>
        <v>3.0527251760527063E-2</v>
      </c>
    </row>
    <row r="13" spans="1:26" x14ac:dyDescent="0.3">
      <c r="B13" s="4">
        <v>9</v>
      </c>
      <c r="C13" s="3">
        <v>4.5</v>
      </c>
      <c r="D13" s="12">
        <f>AVERAGE(D12,D14)</f>
        <v>5.984999999999999E-3</v>
      </c>
      <c r="E13" s="10">
        <f t="shared" si="0"/>
        <v>0.97342045822345291</v>
      </c>
      <c r="F13" s="10">
        <f>D13/2*SUM($E$5:E12)</f>
        <v>2.3666581055313177E-2</v>
      </c>
      <c r="G13" s="18">
        <f t="shared" si="6"/>
        <v>5.9954494392453483E-3</v>
      </c>
      <c r="I13" s="17">
        <v>9</v>
      </c>
      <c r="J13" s="22">
        <f t="shared" si="1"/>
        <v>7.2645813018876737E-3</v>
      </c>
      <c r="K13" s="25">
        <f t="shared" si="7"/>
        <v>1.123444818546071E-2</v>
      </c>
      <c r="N13" s="4">
        <v>9</v>
      </c>
      <c r="O13" s="3">
        <v>4.5</v>
      </c>
      <c r="P13" s="12">
        <f>AVERAGE(P12,P14)</f>
        <v>2.9037499999999997E-2</v>
      </c>
      <c r="Q13" s="10">
        <f t="shared" si="2"/>
        <v>0.87803067267039692</v>
      </c>
      <c r="R13" s="10">
        <f>P13/2*SUM($Q$5:Q12)</f>
        <v>0.1092214195007704</v>
      </c>
      <c r="S13" s="18">
        <f t="shared" si="8"/>
        <v>2.9115166760651068E-2</v>
      </c>
      <c r="U13" s="17">
        <v>9</v>
      </c>
      <c r="V13" s="22">
        <f t="shared" si="3"/>
        <v>3.3315004177651764E-2</v>
      </c>
      <c r="W13" s="25">
        <f t="shared" si="9"/>
        <v>4.0399362840721542E-2</v>
      </c>
      <c r="Y13" s="22">
        <f t="shared" si="4"/>
        <v>2.605042287576409E-2</v>
      </c>
      <c r="Z13" s="25">
        <f t="shared" si="5"/>
        <v>2.9164914655260832E-2</v>
      </c>
    </row>
    <row r="14" spans="1:26" x14ac:dyDescent="0.3">
      <c r="B14" s="4">
        <v>10</v>
      </c>
      <c r="C14" s="3">
        <v>5</v>
      </c>
      <c r="D14" s="6">
        <f>VLOOKUP(C14,par_input,2,FALSE)</f>
        <v>6.1399999999999996E-3</v>
      </c>
      <c r="E14" s="10">
        <f t="shared" si="0"/>
        <v>0.96975495146225243</v>
      </c>
      <c r="F14" s="10">
        <f>D14/2*SUM($E$5:E13)</f>
        <v>2.7267900836758185E-2</v>
      </c>
      <c r="G14" s="18">
        <f t="shared" si="6"/>
        <v>6.1518152027950634E-3</v>
      </c>
      <c r="I14" s="17">
        <v>10</v>
      </c>
      <c r="J14" s="22">
        <f t="shared" si="1"/>
        <v>7.8147374224597499E-3</v>
      </c>
      <c r="K14" s="25">
        <f t="shared" si="7"/>
        <v>1.2779684218678922E-2</v>
      </c>
      <c r="N14" s="4">
        <v>10</v>
      </c>
      <c r="O14" s="3">
        <v>5</v>
      </c>
      <c r="P14" s="6">
        <f>(VLOOKUP(O14,par_input,2,FALSE)+VLOOKUP(O14,spread_input,2,FALSE))</f>
        <v>2.9369999999999997E-2</v>
      </c>
      <c r="Q14" s="10">
        <f t="shared" si="2"/>
        <v>0.86394697589800795</v>
      </c>
      <c r="R14" s="10">
        <f>P14/2*SUM($Q$5:Q13)</f>
        <v>0.1233659627609285</v>
      </c>
      <c r="S14" s="18">
        <f t="shared" si="8"/>
        <v>2.9463695650708388E-2</v>
      </c>
      <c r="U14" s="17">
        <v>10</v>
      </c>
      <c r="V14" s="22">
        <f t="shared" si="3"/>
        <v>3.408714392819201E-2</v>
      </c>
      <c r="W14" s="25">
        <f t="shared" si="9"/>
        <v>4.1062417488018754E-2</v>
      </c>
      <c r="Y14" s="22">
        <f t="shared" si="4"/>
        <v>2.627240650573226E-2</v>
      </c>
      <c r="Z14" s="25">
        <f t="shared" si="5"/>
        <v>2.8282733269339833E-2</v>
      </c>
    </row>
    <row r="15" spans="1:26" x14ac:dyDescent="0.3">
      <c r="B15" s="4">
        <v>11</v>
      </c>
      <c r="C15" s="3">
        <v>5.5</v>
      </c>
      <c r="D15" s="12">
        <f>($D$18-$D$14)/($B$18-$B$14)+D14</f>
        <v>6.2725000000000003E-3</v>
      </c>
      <c r="E15" s="10">
        <f t="shared" si="0"/>
        <v>0.96607242458428932</v>
      </c>
      <c r="F15" s="10">
        <f>D15/2*SUM($E$5:E14)</f>
        <v>3.0897730774107488E-2</v>
      </c>
      <c r="G15" s="18">
        <f t="shared" si="6"/>
        <v>6.2855790055329486E-3</v>
      </c>
      <c r="I15" s="17">
        <v>11</v>
      </c>
      <c r="J15" s="22">
        <f t="shared" si="1"/>
        <v>8.4995556160289976E-3</v>
      </c>
      <c r="K15" s="25">
        <f t="shared" si="7"/>
        <v>1.5373383465899115E-2</v>
      </c>
      <c r="N15" s="4">
        <v>11</v>
      </c>
      <c r="O15" s="3">
        <v>5.5</v>
      </c>
      <c r="P15" s="12">
        <f>($P$18-$P$14)/($N$18-$N$14)+P14</f>
        <v>2.9826249999999999E-2</v>
      </c>
      <c r="Q15" s="10">
        <f t="shared" si="2"/>
        <v>0.84916967859482273</v>
      </c>
      <c r="R15" s="10">
        <f>P15/2*SUM($Q$5:Q14)</f>
        <v>0.13816654784208382</v>
      </c>
      <c r="S15" s="18">
        <f t="shared" si="8"/>
        <v>2.994860810130362E-2</v>
      </c>
      <c r="U15" s="17">
        <v>11</v>
      </c>
      <c r="V15" s="22">
        <f t="shared" si="3"/>
        <v>3.4981235366163821E-2</v>
      </c>
      <c r="W15" s="25">
        <f t="shared" si="9"/>
        <v>4.3964777888221951E-2</v>
      </c>
      <c r="Y15" s="22">
        <f t="shared" si="4"/>
        <v>2.6481679750134823E-2</v>
      </c>
      <c r="Z15" s="25">
        <f t="shared" si="5"/>
        <v>2.8591394422322836E-2</v>
      </c>
    </row>
    <row r="16" spans="1:26" x14ac:dyDescent="0.3">
      <c r="B16" s="4">
        <v>12</v>
      </c>
      <c r="C16" s="3">
        <v>6</v>
      </c>
      <c r="D16" s="12">
        <f>($D$18-$D$14)/($B$18-$B$14)+D15</f>
        <v>6.405000000000001E-3</v>
      </c>
      <c r="E16" s="10">
        <f t="shared" si="0"/>
        <v>0.96227405738103911</v>
      </c>
      <c r="F16" s="10">
        <f>D16/2*SUM($E$5:E15)</f>
        <v>3.4644259950198861E-2</v>
      </c>
      <c r="G16" s="18">
        <f t="shared" si="6"/>
        <v>6.4196118528148105E-3</v>
      </c>
      <c r="I16" s="17">
        <v>12</v>
      </c>
      <c r="J16" s="22">
        <f t="shared" si="1"/>
        <v>9.1901077640226259E-3</v>
      </c>
      <c r="K16" s="25">
        <f t="shared" si="7"/>
        <v>1.6817460389976002E-2</v>
      </c>
      <c r="N16" s="4">
        <v>12</v>
      </c>
      <c r="O16" s="3">
        <v>6</v>
      </c>
      <c r="P16" s="12">
        <f>($P$18-$P$14)/($N$18-$N$14)+P15</f>
        <v>3.02825E-2</v>
      </c>
      <c r="Q16" s="10">
        <f t="shared" si="2"/>
        <v>0.83423113583631758</v>
      </c>
      <c r="R16" s="10">
        <f>P16/2*SUM($Q$5:Q15)</f>
        <v>0.15313756197820075</v>
      </c>
      <c r="S16" s="18">
        <f t="shared" si="8"/>
        <v>3.0436737833784644E-2</v>
      </c>
      <c r="U16" s="17">
        <v>12</v>
      </c>
      <c r="V16" s="22">
        <f t="shared" si="3"/>
        <v>3.5894418636670755E-2</v>
      </c>
      <c r="W16" s="25">
        <f t="shared" si="9"/>
        <v>4.5992768752320057E-2</v>
      </c>
      <c r="Y16" s="22">
        <f t="shared" si="4"/>
        <v>2.6704310872648129E-2</v>
      </c>
      <c r="Z16" s="25">
        <f t="shared" si="5"/>
        <v>2.9175308362344055E-2</v>
      </c>
    </row>
    <row r="17" spans="2:26" x14ac:dyDescent="0.3">
      <c r="B17" s="4">
        <v>13</v>
      </c>
      <c r="C17" s="3">
        <v>6.5</v>
      </c>
      <c r="D17" s="12">
        <f>($D$18-$D$14)/($B$18-$B$14)+D16</f>
        <v>6.5375000000000016E-3</v>
      </c>
      <c r="E17" s="10">
        <f t="shared" si="0"/>
        <v>0.95836097973773149</v>
      </c>
      <c r="F17" s="10">
        <f>D17/2*SUM($E$5:E16)</f>
        <v>3.8506377809752031E-2</v>
      </c>
      <c r="G17" s="18">
        <f t="shared" si="6"/>
        <v>6.553909864315699E-3</v>
      </c>
      <c r="I17" s="17">
        <v>13</v>
      </c>
      <c r="J17" s="22">
        <f t="shared" si="1"/>
        <v>9.8870364705685443E-3</v>
      </c>
      <c r="K17" s="25">
        <f t="shared" si="7"/>
        <v>1.828781652130651E-2</v>
      </c>
      <c r="N17" s="4">
        <v>13</v>
      </c>
      <c r="O17" s="3">
        <v>6.5</v>
      </c>
      <c r="P17" s="12">
        <f>($P$18-$P$14)/($N$18-$N$14)+P16</f>
        <v>3.0738750000000002E-2</v>
      </c>
      <c r="Q17" s="10">
        <f t="shared" si="2"/>
        <v>0.8191438571657057</v>
      </c>
      <c r="R17" s="10">
        <f>P17/2*SUM($Q$5:Q16)</f>
        <v>0.16826641371456758</v>
      </c>
      <c r="S17" s="18">
        <f t="shared" si="8"/>
        <v>3.0928327943438028E-2</v>
      </c>
      <c r="U17" s="17">
        <v>13</v>
      </c>
      <c r="V17" s="22">
        <f t="shared" si="3"/>
        <v>3.6828547221309904E-2</v>
      </c>
      <c r="W17" s="25">
        <f t="shared" si="9"/>
        <v>4.8104012069480007E-2</v>
      </c>
      <c r="Y17" s="22">
        <f t="shared" si="4"/>
        <v>2.694151075074136E-2</v>
      </c>
      <c r="Z17" s="25">
        <f t="shared" si="5"/>
        <v>2.9816195548173496E-2</v>
      </c>
    </row>
    <row r="18" spans="2:26" x14ac:dyDescent="0.3">
      <c r="B18" s="4">
        <v>14</v>
      </c>
      <c r="C18" s="3">
        <v>7</v>
      </c>
      <c r="D18" s="6">
        <f>VLOOKUP(C18,par_input,2,FALSE)</f>
        <v>6.6700000000000006E-3</v>
      </c>
      <c r="E18" s="10">
        <f t="shared" si="0"/>
        <v>0.95433434808118245</v>
      </c>
      <c r="F18" s="10">
        <f>D18/2*SUM($E$5:E17)</f>
        <v>4.2482946867967747E-2</v>
      </c>
      <c r="G18" s="18">
        <f t="shared" si="6"/>
        <v>6.6884732246217382E-3</v>
      </c>
      <c r="I18" s="17">
        <v>14</v>
      </c>
      <c r="J18" s="22">
        <f t="shared" si="1"/>
        <v>1.0591018189858969E-2</v>
      </c>
      <c r="K18" s="25">
        <f t="shared" si="7"/>
        <v>1.9787562486437205E-2</v>
      </c>
      <c r="N18" s="4">
        <v>14</v>
      </c>
      <c r="O18" s="3">
        <v>7</v>
      </c>
      <c r="P18" s="6">
        <f>(VLOOKUP(O18,par_input,2,FALSE)+VLOOKUP(O18,spread_input,2,FALSE))</f>
        <v>3.1195000000000001E-2</v>
      </c>
      <c r="Q18" s="10">
        <f t="shared" si="2"/>
        <v>0.80392029364232032</v>
      </c>
      <c r="R18" s="10">
        <f>P18/2*SUM($Q$5:Q17)</f>
        <v>0.18354055957759483</v>
      </c>
      <c r="S18" s="18">
        <f t="shared" si="8"/>
        <v>3.1423612621812591E-2</v>
      </c>
      <c r="U18" s="17">
        <v>14</v>
      </c>
      <c r="V18" s="22">
        <f t="shared" si="3"/>
        <v>3.7785687910512289E-2</v>
      </c>
      <c r="W18" s="25">
        <f t="shared" si="9"/>
        <v>5.0309220074195915E-2</v>
      </c>
      <c r="Y18" s="22">
        <f t="shared" si="4"/>
        <v>2.7194669720653319E-2</v>
      </c>
      <c r="Z18" s="25">
        <f t="shared" si="5"/>
        <v>3.052165758775871E-2</v>
      </c>
    </row>
    <row r="19" spans="2:26" x14ac:dyDescent="0.3">
      <c r="B19" s="4">
        <v>15</v>
      </c>
      <c r="C19" s="3">
        <v>7.5</v>
      </c>
      <c r="D19" s="12">
        <f>AVERAGE(D18,D20)</f>
        <v>6.7050000000000009E-3</v>
      </c>
      <c r="E19" s="10">
        <f t="shared" si="0"/>
        <v>0.95090680814672712</v>
      </c>
      <c r="F19" s="10">
        <f>D19/2*SUM($E$5:E18)</f>
        <v>4.5905276778962216E-2</v>
      </c>
      <c r="G19" s="18">
        <f t="shared" si="6"/>
        <v>6.7231702972079255E-3</v>
      </c>
      <c r="I19" s="17">
        <v>15</v>
      </c>
      <c r="J19" s="22">
        <f t="shared" si="1"/>
        <v>1.1302770569539655E-2</v>
      </c>
      <c r="K19" s="25">
        <f t="shared" si="7"/>
        <v>2.1320099510378165E-2</v>
      </c>
      <c r="N19" s="4">
        <v>15</v>
      </c>
      <c r="O19" s="3">
        <v>7.5</v>
      </c>
      <c r="P19" s="12">
        <f>AVERAGE(P18,P20)</f>
        <v>3.1539999999999999E-2</v>
      </c>
      <c r="Q19" s="10">
        <f t="shared" si="2"/>
        <v>0.78930442625766128</v>
      </c>
      <c r="R19" s="10">
        <f>P19/2*SUM($Q$5:Q18)</f>
        <v>0.19824824294025503</v>
      </c>
      <c r="S19" s="18">
        <f t="shared" si="8"/>
        <v>3.179721070980257E-2</v>
      </c>
      <c r="U19" s="17">
        <v>15</v>
      </c>
      <c r="V19" s="22">
        <f t="shared" si="3"/>
        <v>3.8768156359276329E-2</v>
      </c>
      <c r="W19" s="25">
        <f t="shared" si="9"/>
        <v>5.2620776898149924E-2</v>
      </c>
      <c r="Y19" s="22">
        <f t="shared" si="4"/>
        <v>2.7465385789736674E-2</v>
      </c>
      <c r="Z19" s="25">
        <f t="shared" si="5"/>
        <v>3.1300677387771758E-2</v>
      </c>
    </row>
    <row r="20" spans="2:26" x14ac:dyDescent="0.3">
      <c r="B20" s="4">
        <v>16</v>
      </c>
      <c r="C20" s="3">
        <v>8</v>
      </c>
      <c r="D20" s="6">
        <f>VLOOKUP(C20,par_input,2,FALSE)</f>
        <v>6.7400000000000003E-3</v>
      </c>
      <c r="E20" s="10">
        <f t="shared" si="0"/>
        <v>0.94745761027082676</v>
      </c>
      <c r="F20" s="10">
        <f>D20/2*SUM($E$5:E19)</f>
        <v>4.9349457582560402E-2</v>
      </c>
      <c r="G20" s="18">
        <f t="shared" si="6"/>
        <v>6.7580272685465737E-3</v>
      </c>
      <c r="I20" s="17">
        <v>16</v>
      </c>
      <c r="J20" s="22">
        <f t="shared" si="1"/>
        <v>1.1718161119753878E-2</v>
      </c>
      <c r="K20" s="25">
        <f t="shared" si="7"/>
        <v>1.7969533169962304E-2</v>
      </c>
      <c r="N20" s="4">
        <v>16</v>
      </c>
      <c r="O20" s="3">
        <v>8</v>
      </c>
      <c r="P20" s="6">
        <f>(VLOOKUP(O20,par_input,2,FALSE)+VLOOKUP(O20,spread_input,2,FALSE))</f>
        <v>3.1884999999999997E-2</v>
      </c>
      <c r="Q20" s="10">
        <f t="shared" si="2"/>
        <v>0.77464987896613957</v>
      </c>
      <c r="R20" s="10">
        <f>P20/2*SUM($Q$5:Q19)</f>
        <v>0.21300026533844194</v>
      </c>
      <c r="S20" s="18">
        <f t="shared" si="8"/>
        <v>3.2174065308847144E-2</v>
      </c>
      <c r="U20" s="17">
        <v>16</v>
      </c>
      <c r="V20" s="22">
        <f t="shared" si="3"/>
        <v>3.931498052526905E-2</v>
      </c>
      <c r="W20" s="25">
        <f t="shared" si="9"/>
        <v>4.7551970856807513E-2</v>
      </c>
      <c r="Y20" s="22">
        <f t="shared" si="4"/>
        <v>2.7596819405515172E-2</v>
      </c>
      <c r="Z20" s="25">
        <f t="shared" si="5"/>
        <v>2.9582437686845209E-2</v>
      </c>
    </row>
    <row r="21" spans="2:26" x14ac:dyDescent="0.3">
      <c r="B21" s="4">
        <v>17</v>
      </c>
      <c r="C21" s="3">
        <v>8.5</v>
      </c>
      <c r="D21" s="12">
        <f>AVERAGE(D20,D22)</f>
        <v>6.9800000000000001E-3</v>
      </c>
      <c r="E21" s="10">
        <f t="shared" si="0"/>
        <v>0.94229804446729881</v>
      </c>
      <c r="F21" s="10">
        <f>D21/2*SUM($E$5:E20)</f>
        <v>5.4413335357511604E-2</v>
      </c>
      <c r="G21" s="18">
        <f t="shared" si="6"/>
        <v>7.0044321368238904E-3</v>
      </c>
      <c r="I21" s="17">
        <v>17</v>
      </c>
      <c r="J21" s="22">
        <f t="shared" si="1"/>
        <v>1.2137691484647606E-2</v>
      </c>
      <c r="K21" s="25">
        <f t="shared" si="7"/>
        <v>1.8873885981516736E-2</v>
      </c>
      <c r="N21" s="4">
        <v>17</v>
      </c>
      <c r="O21" s="3">
        <v>8.5</v>
      </c>
      <c r="P21" s="12">
        <f>AVERAGE(P20,P22)</f>
        <v>3.2274999999999998E-2</v>
      </c>
      <c r="Q21" s="10">
        <f t="shared" si="2"/>
        <v>0.75963491033085762</v>
      </c>
      <c r="R21" s="10">
        <f>P21/2*SUM($Q$5:Q20)</f>
        <v>0.22810648130367944</v>
      </c>
      <c r="S21" s="18">
        <f t="shared" si="8"/>
        <v>3.260615311019377E-2</v>
      </c>
      <c r="U21" s="17">
        <v>17</v>
      </c>
      <c r="V21" s="22">
        <f t="shared" si="3"/>
        <v>3.9878776085219725E-2</v>
      </c>
      <c r="W21" s="25">
        <f t="shared" si="9"/>
        <v>4.8941212492535469E-2</v>
      </c>
      <c r="Y21" s="22">
        <f t="shared" si="4"/>
        <v>2.7741084600572119E-2</v>
      </c>
      <c r="Z21" s="25">
        <f t="shared" si="5"/>
        <v>3.0067326511018733E-2</v>
      </c>
    </row>
    <row r="22" spans="2:26" x14ac:dyDescent="0.3">
      <c r="B22" s="4">
        <v>18</v>
      </c>
      <c r="C22" s="3">
        <v>9</v>
      </c>
      <c r="D22" s="6">
        <f>VLOOKUP(C22,par_input,2,FALSE)</f>
        <v>7.2199999999999999E-3</v>
      </c>
      <c r="E22" s="10">
        <f t="shared" si="0"/>
        <v>0.93693169963792877</v>
      </c>
      <c r="F22" s="10">
        <f>D22/2*SUM($E$5:E21)</f>
        <v>5.968597692637706E-2</v>
      </c>
      <c r="G22" s="18">
        <f t="shared" si="6"/>
        <v>7.2514354727837294E-3</v>
      </c>
      <c r="I22" s="17">
        <v>18</v>
      </c>
      <c r="J22" s="22">
        <f t="shared" si="1"/>
        <v>1.2561591749558954E-2</v>
      </c>
      <c r="K22" s="25">
        <f t="shared" si="7"/>
        <v>1.9795120114629583E-2</v>
      </c>
      <c r="N22" s="4">
        <v>18</v>
      </c>
      <c r="O22" s="3">
        <v>9</v>
      </c>
      <c r="P22" s="6">
        <f>(VLOOKUP(O22,par_input,2,FALSE)+VLOOKUP(O22,spread_input,2,FALSE))</f>
        <v>3.2665E-2</v>
      </c>
      <c r="Q22" s="10">
        <f t="shared" si="2"/>
        <v>0.74456973603965337</v>
      </c>
      <c r="R22" s="10">
        <f>P22/2*SUM($Q$5:Q21)</f>
        <v>0.243269578746478</v>
      </c>
      <c r="S22" s="18">
        <f t="shared" si="8"/>
        <v>3.3042059749528896E-2</v>
      </c>
      <c r="U22" s="17">
        <v>18</v>
      </c>
      <c r="V22" s="22">
        <f t="shared" si="3"/>
        <v>4.0460125627175936E-2</v>
      </c>
      <c r="W22" s="25">
        <f t="shared" si="9"/>
        <v>5.0392942400076635E-2</v>
      </c>
      <c r="Y22" s="22">
        <f t="shared" si="4"/>
        <v>2.7898533877616982E-2</v>
      </c>
      <c r="Z22" s="25">
        <f t="shared" si="5"/>
        <v>3.0597822285447052E-2</v>
      </c>
    </row>
    <row r="23" spans="2:26" x14ac:dyDescent="0.3">
      <c r="B23" s="4">
        <v>19</v>
      </c>
      <c r="C23" s="3">
        <v>9.5</v>
      </c>
      <c r="D23" s="12">
        <f>AVERAGE(D22,D24)</f>
        <v>7.4850000000000003E-3</v>
      </c>
      <c r="E23" s="10">
        <f t="shared" si="0"/>
        <v>0.93113210399966129</v>
      </c>
      <c r="F23" s="10">
        <f>D23/2*SUM($E$5:E22)</f>
        <v>6.5383134101121024E-2</v>
      </c>
      <c r="G23" s="18">
        <f t="shared" si="6"/>
        <v>7.525080988607602E-3</v>
      </c>
      <c r="I23" s="17">
        <v>19</v>
      </c>
      <c r="J23" s="22">
        <f t="shared" si="1"/>
        <v>1.299011858282384E-2</v>
      </c>
      <c r="K23" s="25">
        <f t="shared" si="7"/>
        <v>2.0734688146883951E-2</v>
      </c>
      <c r="N23" s="4">
        <v>19</v>
      </c>
      <c r="O23" s="3">
        <v>9.5</v>
      </c>
      <c r="P23" s="12">
        <f>AVERAGE(P22,P24)</f>
        <v>3.3002500000000004E-2</v>
      </c>
      <c r="Q23" s="10">
        <f t="shared" si="2"/>
        <v>0.72988654931178842</v>
      </c>
      <c r="R23" s="10">
        <f>P23/2*SUM($Q$5:Q22)</f>
        <v>0.25806941026638014</v>
      </c>
      <c r="S23" s="18">
        <f t="shared" si="8"/>
        <v>3.3419958575893638E-2</v>
      </c>
      <c r="U23" s="17">
        <v>19</v>
      </c>
      <c r="V23" s="22">
        <f t="shared" si="3"/>
        <v>4.1059838726478892E-2</v>
      </c>
      <c r="W23" s="25">
        <f t="shared" si="9"/>
        <v>5.1913977586564242E-2</v>
      </c>
      <c r="Y23" s="22">
        <f t="shared" si="4"/>
        <v>2.8069720143655053E-2</v>
      </c>
      <c r="Z23" s="25">
        <f t="shared" si="5"/>
        <v>3.1179289439680291E-2</v>
      </c>
    </row>
    <row r="24" spans="2:26" x14ac:dyDescent="0.3">
      <c r="B24" s="4">
        <v>20</v>
      </c>
      <c r="C24" s="3">
        <v>10</v>
      </c>
      <c r="D24" s="6">
        <f>VLOOKUP(C24,par_input,2,FALSE)</f>
        <v>7.7499999999999999E-3</v>
      </c>
      <c r="E24" s="10">
        <f t="shared" si="0"/>
        <v>0.92510909750400061</v>
      </c>
      <c r="F24" s="10">
        <f>D24/2*SUM($E$5:E23)</f>
        <v>7.1306104743170756E-2</v>
      </c>
      <c r="G24" s="18">
        <f t="shared" si="6"/>
        <v>7.7995292582970777E-3</v>
      </c>
      <c r="I24" s="17">
        <v>20</v>
      </c>
      <c r="J24" s="22">
        <f t="shared" si="1"/>
        <v>1.3423554509838675E-2</v>
      </c>
      <c r="K24" s="25">
        <f t="shared" si="7"/>
        <v>2.1694164691957285E-2</v>
      </c>
      <c r="N24" s="4">
        <v>20</v>
      </c>
      <c r="O24" s="3">
        <v>10</v>
      </c>
      <c r="P24" s="6">
        <f>(VLOOKUP(O24,par_input,2,FALSE)+VLOOKUP(O24,spread_input,2,FALSE))</f>
        <v>3.3340000000000002E-2</v>
      </c>
      <c r="Q24" s="10">
        <f t="shared" si="2"/>
        <v>0.71520182030605517</v>
      </c>
      <c r="R24" s="10">
        <f>P24/2*SUM($Q$5:Q23)</f>
        <v>0.27287576534944219</v>
      </c>
      <c r="S24" s="18">
        <f t="shared" si="8"/>
        <v>3.380150843507046E-2</v>
      </c>
      <c r="U24" s="17">
        <v>20</v>
      </c>
      <c r="V24" s="22">
        <f t="shared" si="3"/>
        <v>4.1678941491107624E-2</v>
      </c>
      <c r="W24" s="25">
        <f t="shared" si="9"/>
        <v>5.351209677434654E-2</v>
      </c>
      <c r="Y24" s="22">
        <f t="shared" si="4"/>
        <v>2.8255386981268948E-2</v>
      </c>
      <c r="Z24" s="25">
        <f t="shared" si="5"/>
        <v>3.1817932082389255E-2</v>
      </c>
    </row>
    <row r="25" spans="2:26" x14ac:dyDescent="0.3">
      <c r="B25" s="4">
        <v>21</v>
      </c>
      <c r="C25" s="3">
        <v>10.5</v>
      </c>
      <c r="D25" s="12">
        <f>($D$34-$D$24)/($B$34-$B$24)+D24</f>
        <v>8.0770000000000008E-3</v>
      </c>
      <c r="E25" s="10">
        <f t="shared" si="0"/>
        <v>0.91824086883698353</v>
      </c>
      <c r="F25" s="10">
        <f>D25/2*SUM($E$5:E24)</f>
        <v>7.8050815414217045E-2</v>
      </c>
      <c r="G25" s="18">
        <f t="shared" si="6"/>
        <v>8.1399043146452854E-3</v>
      </c>
      <c r="I25" s="17">
        <v>21</v>
      </c>
      <c r="J25" s="22">
        <f t="shared" si="1"/>
        <v>1.3531368646791497E-2</v>
      </c>
      <c r="K25" s="25">
        <f t="shared" si="7"/>
        <v>1.5690061692957613E-2</v>
      </c>
      <c r="N25" s="4">
        <v>21</v>
      </c>
      <c r="O25" s="3">
        <v>10.5</v>
      </c>
      <c r="P25" s="12">
        <f>($P$34-$P$24)/($N$34-$N$24)+P24</f>
        <v>3.37205E-2</v>
      </c>
      <c r="Q25" s="10">
        <f t="shared" si="2"/>
        <v>0.70014684825086049</v>
      </c>
      <c r="R25" s="10">
        <f>P25/2*SUM($Q$5:Q24)</f>
        <v>0.2880485008509191</v>
      </c>
      <c r="S25" s="18">
        <f t="shared" si="8"/>
        <v>3.4238837034957559E-2</v>
      </c>
      <c r="U25" s="17">
        <v>21</v>
      </c>
      <c r="V25" s="22">
        <f t="shared" si="3"/>
        <v>4.1876710852895238E-2</v>
      </c>
      <c r="W25" s="25">
        <f t="shared" si="9"/>
        <v>4.5839992609429503E-2</v>
      </c>
      <c r="Y25" s="22">
        <f t="shared" si="4"/>
        <v>2.8345342206103741E-2</v>
      </c>
      <c r="Z25" s="25">
        <f t="shared" si="5"/>
        <v>3.014993091647189E-2</v>
      </c>
    </row>
    <row r="26" spans="2:26" x14ac:dyDescent="0.3">
      <c r="B26" s="4">
        <v>22</v>
      </c>
      <c r="C26" s="3">
        <v>11</v>
      </c>
      <c r="D26" s="12">
        <f t="shared" ref="D26:D33" si="10">($D$34-$D$24)/($B$34-$B$24)+D25</f>
        <v>8.4040000000000017E-3</v>
      </c>
      <c r="E26" s="10">
        <f t="shared" si="0"/>
        <v>0.91110237137220562</v>
      </c>
      <c r="F26" s="10">
        <f>D26/2*SUM($E$5:E25)</f>
        <v>8.5069176463288321E-2</v>
      </c>
      <c r="G26" s="18">
        <f t="shared" si="6"/>
        <v>8.4815713528754166E-3</v>
      </c>
      <c r="I26" s="17">
        <v>22</v>
      </c>
      <c r="J26" s="22">
        <f t="shared" si="1"/>
        <v>1.3641218539176991E-2</v>
      </c>
      <c r="K26" s="25">
        <f t="shared" si="7"/>
        <v>1.5950818529441912E-2</v>
      </c>
      <c r="N26" s="4">
        <v>22</v>
      </c>
      <c r="O26" s="3">
        <v>11</v>
      </c>
      <c r="P26" s="12">
        <f t="shared" ref="P26:P33" si="11">($P$34-$P$24)/($N$34-$N$24)+P25</f>
        <v>3.4100999999999999E-2</v>
      </c>
      <c r="Q26" s="10">
        <f t="shared" si="2"/>
        <v>0.6850823279237418</v>
      </c>
      <c r="R26" s="10">
        <f>P26/2*SUM($Q$5:Q25)</f>
        <v>0.30323667584399533</v>
      </c>
      <c r="S26" s="18">
        <f t="shared" si="8"/>
        <v>3.468055022518346E-2</v>
      </c>
      <c r="U26" s="17">
        <v>22</v>
      </c>
      <c r="V26" s="22">
        <f t="shared" si="3"/>
        <v>4.2085583524661407E-2</v>
      </c>
      <c r="W26" s="25">
        <f t="shared" si="9"/>
        <v>4.6481595521019603E-2</v>
      </c>
      <c r="Y26" s="22">
        <f t="shared" si="4"/>
        <v>2.8444364985484416E-2</v>
      </c>
      <c r="Z26" s="25">
        <f t="shared" si="5"/>
        <v>3.0530776991577691E-2</v>
      </c>
    </row>
    <row r="27" spans="2:26" x14ac:dyDescent="0.3">
      <c r="B27" s="4">
        <v>23</v>
      </c>
      <c r="C27" s="3">
        <v>11.5</v>
      </c>
      <c r="D27" s="12">
        <f t="shared" si="10"/>
        <v>8.7310000000000026E-3</v>
      </c>
      <c r="E27" s="10">
        <f t="shared" si="0"/>
        <v>0.90369826605375569</v>
      </c>
      <c r="F27" s="10">
        <f>D27/2*SUM($E$5:E26)</f>
        <v>9.2356639165786819E-2</v>
      </c>
      <c r="G27" s="18">
        <f t="shared" si="6"/>
        <v>8.8246070655482178E-3</v>
      </c>
      <c r="I27" s="17">
        <v>23</v>
      </c>
      <c r="J27" s="22">
        <f t="shared" si="1"/>
        <v>1.3752976685896812E-2</v>
      </c>
      <c r="K27" s="25">
        <f t="shared" si="7"/>
        <v>1.6214775736163478E-2</v>
      </c>
      <c r="N27" s="4">
        <v>23</v>
      </c>
      <c r="O27" s="3">
        <v>11.5</v>
      </c>
      <c r="P27" s="12">
        <f t="shared" si="11"/>
        <v>3.4481499999999998E-2</v>
      </c>
      <c r="Q27" s="10">
        <f t="shared" si="2"/>
        <v>0.67001687350413186</v>
      </c>
      <c r="R27" s="10">
        <f>P27/2*SUM($Q$5:Q26)</f>
        <v>0.31843153308400129</v>
      </c>
      <c r="S27" s="18">
        <f t="shared" si="8"/>
        <v>3.5126855314500549E-2</v>
      </c>
      <c r="U27" s="17">
        <v>23</v>
      </c>
      <c r="V27" s="22">
        <f t="shared" si="3"/>
        <v>4.2305230289342965E-2</v>
      </c>
      <c r="W27" s="25">
        <f t="shared" si="9"/>
        <v>4.714918937480328E-2</v>
      </c>
      <c r="Y27" s="22">
        <f t="shared" si="4"/>
        <v>2.8552253603446154E-2</v>
      </c>
      <c r="Z27" s="25">
        <f t="shared" si="5"/>
        <v>3.0934413638639802E-2</v>
      </c>
    </row>
    <row r="28" spans="2:26" x14ac:dyDescent="0.3">
      <c r="B28" s="4">
        <v>24</v>
      </c>
      <c r="C28" s="3">
        <v>12</v>
      </c>
      <c r="D28" s="12">
        <f t="shared" si="10"/>
        <v>9.0580000000000035E-3</v>
      </c>
      <c r="E28" s="10">
        <f t="shared" si="0"/>
        <v>0.89603336573584624</v>
      </c>
      <c r="F28" s="10">
        <f>D28/2*SUM($E$5:E27)</f>
        <v>9.9908499150736754E-2</v>
      </c>
      <c r="G28" s="18">
        <f t="shared" si="6"/>
        <v>9.1690897124836468E-3</v>
      </c>
      <c r="I28" s="17">
        <v>24</v>
      </c>
      <c r="J28" s="22">
        <f t="shared" si="1"/>
        <v>1.386654275115129E-2</v>
      </c>
      <c r="K28" s="25">
        <f t="shared" si="7"/>
        <v>1.6482076488156583E-2</v>
      </c>
      <c r="N28" s="4">
        <v>24</v>
      </c>
      <c r="O28" s="3">
        <v>12</v>
      </c>
      <c r="P28" s="12">
        <f t="shared" si="11"/>
        <v>3.4861999999999997E-2</v>
      </c>
      <c r="Q28" s="10">
        <f t="shared" si="2"/>
        <v>0.65495895228885848</v>
      </c>
      <c r="R28" s="10">
        <f>P28/2*SUM($Q$5:Q27)</f>
        <v>0.333624458213794</v>
      </c>
      <c r="S28" s="18">
        <f t="shared" si="8"/>
        <v>3.5577970637991285E-2</v>
      </c>
      <c r="U28" s="17">
        <v>24</v>
      </c>
      <c r="V28" s="22">
        <f t="shared" si="3"/>
        <v>4.2535461382459339E-2</v>
      </c>
      <c r="W28" s="25">
        <f t="shared" si="9"/>
        <v>4.7844835246256157E-2</v>
      </c>
      <c r="Y28" s="22">
        <f t="shared" si="4"/>
        <v>2.8668918631308049E-2</v>
      </c>
      <c r="Z28" s="25">
        <f t="shared" si="5"/>
        <v>3.1362758758099574E-2</v>
      </c>
    </row>
    <row r="29" spans="2:26" x14ac:dyDescent="0.3">
      <c r="B29" s="4">
        <v>25</v>
      </c>
      <c r="C29" s="3">
        <v>12.5</v>
      </c>
      <c r="D29" s="12">
        <f t="shared" si="10"/>
        <v>9.3850000000000044E-3</v>
      </c>
      <c r="E29" s="10">
        <f t="shared" si="0"/>
        <v>0.88811263055716583</v>
      </c>
      <c r="F29" s="10">
        <f>D29/2*SUM($E$5:E28)</f>
        <v>0.10771990092394448</v>
      </c>
      <c r="G29" s="18">
        <f t="shared" si="6"/>
        <v>9.5150993706525355E-3</v>
      </c>
      <c r="I29" s="17">
        <v>25</v>
      </c>
      <c r="J29" s="22">
        <f t="shared" si="1"/>
        <v>1.3981838406994296E-2</v>
      </c>
      <c r="K29" s="25">
        <f t="shared" si="7"/>
        <v>1.6752870962707833E-2</v>
      </c>
      <c r="N29" s="4">
        <v>25</v>
      </c>
      <c r="O29" s="3">
        <v>12.5</v>
      </c>
      <c r="P29" s="12">
        <f t="shared" si="11"/>
        <v>3.5242499999999996E-2</v>
      </c>
      <c r="Q29" s="10">
        <f t="shared" si="2"/>
        <v>0.63991687932053365</v>
      </c>
      <c r="R29" s="10">
        <f>P29/2*SUM($Q$5:Q28)</f>
        <v>0.34880698536974036</v>
      </c>
      <c r="S29" s="18">
        <f t="shared" si="8"/>
        <v>3.6034126408156286E-2</v>
      </c>
      <c r="U29" s="17">
        <v>25</v>
      </c>
      <c r="V29" s="22">
        <f t="shared" si="3"/>
        <v>4.2776206905138947E-2</v>
      </c>
      <c r="W29" s="25">
        <f t="shared" si="9"/>
        <v>4.857080712495887E-2</v>
      </c>
      <c r="Y29" s="22">
        <f t="shared" si="4"/>
        <v>2.8794368498144651E-2</v>
      </c>
      <c r="Z29" s="25">
        <f t="shared" si="5"/>
        <v>3.1817936162251037E-2</v>
      </c>
    </row>
    <row r="30" spans="2:26" x14ac:dyDescent="0.3">
      <c r="B30" s="4">
        <v>26</v>
      </c>
      <c r="C30" s="3">
        <v>13</v>
      </c>
      <c r="D30" s="12">
        <f t="shared" si="10"/>
        <v>9.7120000000000054E-3</v>
      </c>
      <c r="E30" s="10">
        <f t="shared" si="0"/>
        <v>0.87994116319381277</v>
      </c>
      <c r="F30" s="10">
        <f>D30/2*SUM($E$5:E29)</f>
        <v>0.11578584251772017</v>
      </c>
      <c r="G30" s="18">
        <f t="shared" si="6"/>
        <v>9.86271816815254E-3</v>
      </c>
      <c r="I30" s="17">
        <v>26</v>
      </c>
      <c r="J30" s="22">
        <f t="shared" si="1"/>
        <v>1.3926994380078161E-2</v>
      </c>
      <c r="K30" s="25">
        <f t="shared" si="7"/>
        <v>1.2556857367440832E-2</v>
      </c>
      <c r="N30" s="4">
        <v>26</v>
      </c>
      <c r="O30" s="3">
        <v>13</v>
      </c>
      <c r="P30" s="12">
        <f t="shared" si="11"/>
        <v>3.5622999999999995E-2</v>
      </c>
      <c r="Q30" s="10">
        <f t="shared" si="2"/>
        <v>0.62489881228070376</v>
      </c>
      <c r="R30" s="10">
        <f>P30/2*SUM($Q$5:Q29)</f>
        <v>0.36397080252435737</v>
      </c>
      <c r="S30" s="18">
        <f t="shared" si="8"/>
        <v>3.6495565643401839E-2</v>
      </c>
      <c r="U30" s="17">
        <v>26</v>
      </c>
      <c r="V30" s="22">
        <f t="shared" si="3"/>
        <v>4.2792219420712208E-2</v>
      </c>
      <c r="W30" s="25">
        <f t="shared" si="9"/>
        <v>4.3192612231745864E-2</v>
      </c>
      <c r="Y30" s="22">
        <f t="shared" si="4"/>
        <v>2.8865225040634046E-2</v>
      </c>
      <c r="Z30" s="25">
        <f t="shared" si="5"/>
        <v>3.0635754864305031E-2</v>
      </c>
    </row>
    <row r="31" spans="2:26" x14ac:dyDescent="0.3">
      <c r="B31" s="4">
        <v>27</v>
      </c>
      <c r="C31" s="3">
        <v>13.5</v>
      </c>
      <c r="D31" s="12">
        <f t="shared" si="10"/>
        <v>1.0039000000000006E-2</v>
      </c>
      <c r="E31" s="10">
        <f t="shared" si="0"/>
        <v>0.87152420399677988</v>
      </c>
      <c r="F31" s="10">
        <f>D31/2*SUM($E$5:E30)</f>
        <v>0.1241011802612577</v>
      </c>
      <c r="G31" s="18">
        <f t="shared" si="6"/>
        <v>1.0212030509337833E-2</v>
      </c>
      <c r="I31" s="17">
        <v>27</v>
      </c>
      <c r="J31" s="22">
        <f t="shared" si="1"/>
        <v>1.3873527472835878E-2</v>
      </c>
      <c r="K31" s="25">
        <f t="shared" si="7"/>
        <v>1.2484377074565955E-2</v>
      </c>
      <c r="N31" s="4">
        <v>27</v>
      </c>
      <c r="O31" s="3">
        <v>13.5</v>
      </c>
      <c r="P31" s="12">
        <f t="shared" si="11"/>
        <v>3.6003499999999994E-2</v>
      </c>
      <c r="Q31" s="10">
        <f t="shared" si="2"/>
        <v>0.60991274664977391</v>
      </c>
      <c r="R31" s="10">
        <f>P31/2*SUM($Q$5:Q30)</f>
        <v>0.37910775656322154</v>
      </c>
      <c r="S31" s="18">
        <f t="shared" si="8"/>
        <v>3.6962545183182538E-2</v>
      </c>
      <c r="U31" s="17">
        <v>27</v>
      </c>
      <c r="V31" s="22">
        <f t="shared" si="3"/>
        <v>4.2815111367298098E-2</v>
      </c>
      <c r="W31" s="25">
        <f t="shared" si="9"/>
        <v>4.3410478401137542E-2</v>
      </c>
      <c r="Y31" s="22">
        <f t="shared" si="4"/>
        <v>2.8941583894462219E-2</v>
      </c>
      <c r="Z31" s="25">
        <f t="shared" si="5"/>
        <v>3.0926101326571587E-2</v>
      </c>
    </row>
    <row r="32" spans="2:26" x14ac:dyDescent="0.3">
      <c r="B32" s="4">
        <v>28</v>
      </c>
      <c r="C32" s="3">
        <v>14</v>
      </c>
      <c r="D32" s="12">
        <f t="shared" si="10"/>
        <v>1.0366000000000007E-2</v>
      </c>
      <c r="E32" s="10">
        <f t="shared" si="0"/>
        <v>0.86286712602019577</v>
      </c>
      <c r="F32" s="10">
        <f>D32/2*SUM($E$5:E31)</f>
        <v>0.1326606336656414</v>
      </c>
      <c r="G32" s="18">
        <f t="shared" si="6"/>
        <v>1.0563123296415178E-2</v>
      </c>
      <c r="I32" s="17">
        <v>28</v>
      </c>
      <c r="J32" s="22">
        <f t="shared" si="1"/>
        <v>1.3821273873644069E-2</v>
      </c>
      <c r="K32" s="25">
        <f t="shared" si="7"/>
        <v>1.2411444223703327E-2</v>
      </c>
      <c r="N32" s="4">
        <v>28</v>
      </c>
      <c r="O32" s="3">
        <v>14</v>
      </c>
      <c r="P32" s="12">
        <f t="shared" si="11"/>
        <v>3.6383999999999993E-2</v>
      </c>
      <c r="Q32" s="10">
        <f t="shared" si="2"/>
        <v>0.59496651113522525</v>
      </c>
      <c r="R32" s="10">
        <f>P32/2*SUM($Q$5:Q31)</f>
        <v>0.39420985809420067</v>
      </c>
      <c r="S32" s="18">
        <f t="shared" si="8"/>
        <v>3.7435336800176522E-2</v>
      </c>
      <c r="U32" s="17">
        <v>28</v>
      </c>
      <c r="V32" s="22">
        <f t="shared" si="3"/>
        <v>4.2844422137949811E-2</v>
      </c>
      <c r="W32" s="25">
        <f t="shared" si="9"/>
        <v>4.3636124436011503E-2</v>
      </c>
      <c r="Y32" s="22">
        <f t="shared" si="4"/>
        <v>2.9023148264305743E-2</v>
      </c>
      <c r="Z32" s="25">
        <f t="shared" si="5"/>
        <v>3.1224680212308176E-2</v>
      </c>
    </row>
    <row r="33" spans="2:26" x14ac:dyDescent="0.3">
      <c r="B33" s="4">
        <v>29</v>
      </c>
      <c r="C33" s="3">
        <v>14.5</v>
      </c>
      <c r="D33" s="12">
        <f t="shared" si="10"/>
        <v>1.0693000000000008E-2</v>
      </c>
      <c r="E33" s="10">
        <f t="shared" si="0"/>
        <v>0.85397542994646203</v>
      </c>
      <c r="F33" s="10">
        <f>D33/2*SUM($E$5:E32)</f>
        <v>0.1414587904173302</v>
      </c>
      <c r="G33" s="18">
        <f t="shared" si="6"/>
        <v>1.0916086151667503E-2</v>
      </c>
      <c r="I33" s="17">
        <v>29</v>
      </c>
      <c r="J33" s="22">
        <f t="shared" si="1"/>
        <v>1.3770092406137246E-2</v>
      </c>
      <c r="K33" s="25">
        <f t="shared" si="7"/>
        <v>1.2338059874767104E-2</v>
      </c>
      <c r="N33" s="4">
        <v>29</v>
      </c>
      <c r="O33" s="3">
        <v>14.5</v>
      </c>
      <c r="P33" s="12">
        <f t="shared" si="11"/>
        <v>3.6764499999999992E-2</v>
      </c>
      <c r="Q33" s="10">
        <f t="shared" si="2"/>
        <v>0.58006776336931343</v>
      </c>
      <c r="R33" s="10">
        <f>P33/2*SUM($Q$5:Q32)</f>
        <v>0.40926928598749274</v>
      </c>
      <c r="S33" s="18">
        <f t="shared" si="8"/>
        <v>3.7914228421205731E-2</v>
      </c>
      <c r="U33" s="17">
        <v>29</v>
      </c>
      <c r="V33" s="22">
        <f t="shared" si="3"/>
        <v>4.287976976928487E-2</v>
      </c>
      <c r="W33" s="25">
        <f t="shared" si="9"/>
        <v>4.3869990032698647E-2</v>
      </c>
      <c r="Y33" s="22">
        <f t="shared" si="4"/>
        <v>2.9109677363147624E-2</v>
      </c>
      <c r="Z33" s="25">
        <f t="shared" si="5"/>
        <v>3.1531930157931543E-2</v>
      </c>
    </row>
    <row r="34" spans="2:26" ht="15" thickBot="1" x14ac:dyDescent="0.35">
      <c r="B34" s="4">
        <v>30</v>
      </c>
      <c r="C34" s="3">
        <v>15</v>
      </c>
      <c r="D34" s="6">
        <f>VLOOKUP(C34,par_input,2,FALSE)</f>
        <v>1.102E-2</v>
      </c>
      <c r="E34" s="10">
        <f t="shared" si="0"/>
        <v>0.84485473891471941</v>
      </c>
      <c r="F34" s="10">
        <f>D34/2*SUM($E$5:E33)</f>
        <v>0.15049011147386124</v>
      </c>
      <c r="G34" s="18">
        <f t="shared" si="6"/>
        <v>1.1271011643671613E-2</v>
      </c>
      <c r="I34" s="17">
        <v>30</v>
      </c>
      <c r="J34" s="23">
        <f t="shared" si="1"/>
        <v>1.3719860761480129E-2</v>
      </c>
      <c r="K34" s="26">
        <f t="shared" si="7"/>
        <v>1.226422525701798E-2</v>
      </c>
      <c r="N34" s="4">
        <v>30</v>
      </c>
      <c r="O34" s="3">
        <v>15</v>
      </c>
      <c r="P34" s="6">
        <f>(VLOOKUP(O34,par_input,2,FALSE)+VLOOKUP(O34,spread_input,2,FALSE))</f>
        <v>3.7145000000000004E-2</v>
      </c>
      <c r="Q34" s="10">
        <f t="shared" si="2"/>
        <v>0.56522398587691314</v>
      </c>
      <c r="R34" s="10">
        <f>P34/2*SUM($Q$5:Q33)</f>
        <v>0.4242783916453895</v>
      </c>
      <c r="S34" s="18">
        <f t="shared" si="8"/>
        <v>3.8399525470192319E-2</v>
      </c>
      <c r="U34" s="17">
        <v>30</v>
      </c>
      <c r="V34" s="23">
        <f t="shared" si="3"/>
        <v>4.2920838832675834E-2</v>
      </c>
      <c r="W34" s="26">
        <f t="shared" si="9"/>
        <v>4.4112545462891228E-2</v>
      </c>
      <c r="Y34" s="23">
        <f t="shared" si="4"/>
        <v>2.9200978071195705E-2</v>
      </c>
      <c r="Z34" s="26">
        <f t="shared" si="5"/>
        <v>3.1848320205873248E-2</v>
      </c>
    </row>
    <row r="35" spans="2:26" x14ac:dyDescent="0.3">
      <c r="B35" s="4">
        <v>31</v>
      </c>
      <c r="C35" s="3">
        <v>15.5</v>
      </c>
      <c r="D35" s="12">
        <f>($D$44-$D$34)/($B$44-$B$34)+D34</f>
        <v>1.1212E-2</v>
      </c>
      <c r="E35" s="10">
        <f t="shared" si="0"/>
        <v>0.83745688031442289</v>
      </c>
      <c r="F35" s="10">
        <f>D35/2*SUM($E$5:E34)</f>
        <v>0.15784833641453488</v>
      </c>
      <c r="G35" s="18">
        <f t="shared" si="6"/>
        <v>1.1477031105898927E-2</v>
      </c>
      <c r="N35" s="4">
        <v>31</v>
      </c>
      <c r="O35" s="3">
        <v>15.5</v>
      </c>
      <c r="P35" s="12">
        <f>($P$44-$P$34)/($N$44-$N$34)+P34</f>
        <v>3.7364500000000002E-2</v>
      </c>
      <c r="Q35" s="10">
        <f t="shared" si="2"/>
        <v>0.55233589775289538</v>
      </c>
      <c r="R35" s="10">
        <f>P35/2*SUM($Q$5:Q34)</f>
        <v>0.43734522492131206</v>
      </c>
      <c r="S35" s="18">
        <f t="shared" si="8"/>
        <v>3.8665714632502901E-2</v>
      </c>
    </row>
    <row r="36" spans="2:26" x14ac:dyDescent="0.3">
      <c r="B36" s="4">
        <v>32</v>
      </c>
      <c r="C36" s="3">
        <v>16</v>
      </c>
      <c r="D36" s="12">
        <f t="shared" ref="D36:D43" si="12">($D$44-$D$34)/($B$44-$B$34)+D35</f>
        <v>1.1403999999999999E-2</v>
      </c>
      <c r="E36" s="10">
        <f t="shared" si="0"/>
        <v>0.82994108505766129</v>
      </c>
      <c r="F36" s="10">
        <f>D36/2*SUM($E$5:E35)</f>
        <v>0.16532659087534127</v>
      </c>
      <c r="G36" s="18">
        <f t="shared" si="6"/>
        <v>1.1684031968990816E-2</v>
      </c>
      <c r="N36" s="4">
        <v>32</v>
      </c>
      <c r="O36" s="3">
        <v>16</v>
      </c>
      <c r="P36" s="12">
        <f t="shared" ref="P36:P43" si="13">($P$44-$P$34)/($N$44-$N$34)+P35</f>
        <v>3.7583999999999999E-2</v>
      </c>
      <c r="Q36" s="10">
        <f t="shared" si="2"/>
        <v>0.53956653378696662</v>
      </c>
      <c r="R36" s="10">
        <f>P36/2*SUM($Q$5:Q35)</f>
        <v>0.45029393191010814</v>
      </c>
      <c r="S36" s="18">
        <f t="shared" si="8"/>
        <v>3.8935977930909971E-2</v>
      </c>
    </row>
    <row r="37" spans="2:26" x14ac:dyDescent="0.3">
      <c r="B37" s="4">
        <v>33</v>
      </c>
      <c r="C37" s="3">
        <v>16.5</v>
      </c>
      <c r="D37" s="12">
        <f t="shared" si="12"/>
        <v>1.1595999999999999E-2</v>
      </c>
      <c r="E37" s="10">
        <f t="shared" si="0"/>
        <v>0.82231018507068809</v>
      </c>
      <c r="F37" s="10">
        <f>D37/2*SUM($E$5:E36)</f>
        <v>0.17292206047626932</v>
      </c>
      <c r="G37" s="18">
        <f t="shared" si="6"/>
        <v>1.1892039930528231E-2</v>
      </c>
      <c r="N37" s="4">
        <v>33</v>
      </c>
      <c r="O37" s="3">
        <v>16.5</v>
      </c>
      <c r="P37" s="12">
        <f t="shared" si="13"/>
        <v>3.7803499999999997E-2</v>
      </c>
      <c r="Q37" s="10">
        <f t="shared" si="2"/>
        <v>0.52691781783364355</v>
      </c>
      <c r="R37" s="10">
        <f>P37/2*SUM($Q$5:Q36)</f>
        <v>0.46312251330311799</v>
      </c>
      <c r="S37" s="18">
        <f t="shared" si="8"/>
        <v>3.9210362859877002E-2</v>
      </c>
    </row>
    <row r="38" spans="2:26" x14ac:dyDescent="0.3">
      <c r="B38" s="4">
        <v>34</v>
      </c>
      <c r="C38" s="3">
        <v>17</v>
      </c>
      <c r="D38" s="12">
        <f t="shared" si="12"/>
        <v>1.1787999999999998E-2</v>
      </c>
      <c r="E38" s="10">
        <f t="shared" si="0"/>
        <v>0.81456703962743149</v>
      </c>
      <c r="F38" s="10">
        <f>D38/2*SUM($E$5:E37)</f>
        <v>0.1806319022410052</v>
      </c>
      <c r="G38" s="18">
        <f t="shared" si="6"/>
        <v>1.2101082435619137E-2</v>
      </c>
      <c r="N38" s="4">
        <v>34</v>
      </c>
      <c r="O38" s="3">
        <v>17</v>
      </c>
      <c r="P38" s="12">
        <f t="shared" si="13"/>
        <v>3.8022999999999994E-2</v>
      </c>
      <c r="Q38" s="10">
        <f t="shared" si="2"/>
        <v>0.51439158587813261</v>
      </c>
      <c r="R38" s="10">
        <f>P38/2*SUM($Q$5:Q37)</f>
        <v>0.4758290584869474</v>
      </c>
      <c r="S38" s="18">
        <f t="shared" si="8"/>
        <v>3.9488932144736921E-2</v>
      </c>
    </row>
    <row r="39" spans="2:26" x14ac:dyDescent="0.3">
      <c r="B39" s="4">
        <v>35</v>
      </c>
      <c r="C39" s="3">
        <v>17.5</v>
      </c>
      <c r="D39" s="12">
        <f t="shared" si="12"/>
        <v>1.1979999999999998E-2</v>
      </c>
      <c r="E39" s="10">
        <f t="shared" si="0"/>
        <v>0.80671453382233571</v>
      </c>
      <c r="F39" s="10">
        <f>D39/2*SUM($E$5:E38)</f>
        <v>0.18845324612006953</v>
      </c>
      <c r="G39" s="18">
        <f t="shared" si="6"/>
        <v>1.2311188606101808E-2</v>
      </c>
      <c r="N39" s="4">
        <v>35</v>
      </c>
      <c r="O39" s="3">
        <v>17.5</v>
      </c>
      <c r="P39" s="12">
        <f t="shared" si="13"/>
        <v>3.8242499999999992E-2</v>
      </c>
      <c r="Q39" s="10">
        <f t="shared" si="2"/>
        <v>0.50198958669637095</v>
      </c>
      <c r="R39" s="10">
        <f>P39/2*SUM($Q$5:Q38)</f>
        <v>0.48841174491901201</v>
      </c>
      <c r="S39" s="18">
        <f t="shared" si="8"/>
        <v>3.9771762867356397E-2</v>
      </c>
    </row>
    <row r="40" spans="2:26" x14ac:dyDescent="0.3">
      <c r="B40" s="4">
        <v>36</v>
      </c>
      <c r="C40" s="3">
        <v>18</v>
      </c>
      <c r="D40" s="12">
        <f t="shared" si="12"/>
        <v>1.2171999999999997E-2</v>
      </c>
      <c r="E40" s="10">
        <f t="shared" si="0"/>
        <v>0.79875557703773925</v>
      </c>
      <c r="F40" s="10">
        <f>D40/2*SUM($E$5:E39)</f>
        <v>0.19638319652041253</v>
      </c>
      <c r="G40" s="18">
        <f t="shared" si="6"/>
        <v>1.2522389191791383E-2</v>
      </c>
      <c r="N40" s="4">
        <v>36</v>
      </c>
      <c r="O40" s="3">
        <v>18</v>
      </c>
      <c r="P40" s="12">
        <f t="shared" si="13"/>
        <v>3.8461999999999989E-2</v>
      </c>
      <c r="Q40" s="10">
        <f t="shared" si="2"/>
        <v>0.48971348255899622</v>
      </c>
      <c r="R40" s="10">
        <f>P40/2*SUM($Q$5:Q39)</f>
        <v>0.50086883745791244</v>
      </c>
      <c r="S40" s="18">
        <f t="shared" si="8"/>
        <v>4.005894584168912E-2</v>
      </c>
    </row>
    <row r="41" spans="2:26" x14ac:dyDescent="0.3">
      <c r="B41" s="4">
        <v>37</v>
      </c>
      <c r="C41" s="3">
        <v>18.5</v>
      </c>
      <c r="D41" s="12">
        <f t="shared" si="12"/>
        <v>1.2363999999999997E-2</v>
      </c>
      <c r="E41" s="10">
        <f t="shared" si="0"/>
        <v>0.79069310140669702</v>
      </c>
      <c r="F41" s="10">
        <f>D41/2*SUM($E$5:E40)</f>
        <v>0.20441883384040704</v>
      </c>
      <c r="G41" s="18">
        <f t="shared" si="6"/>
        <v>1.27347165402516E-2</v>
      </c>
      <c r="N41" s="4">
        <v>37</v>
      </c>
      <c r="O41" s="3">
        <v>18.5</v>
      </c>
      <c r="P41" s="12">
        <f t="shared" si="13"/>
        <v>3.8681499999999987E-2</v>
      </c>
      <c r="Q41" s="10">
        <f t="shared" si="2"/>
        <v>0.47756484997779386</v>
      </c>
      <c r="R41" s="10">
        <f>P41/2*SUM($Q$5:Q40)</f>
        <v>0.51319868764999776</v>
      </c>
      <c r="S41" s="18">
        <f t="shared" si="8"/>
        <v>4.0350585202057143E-2</v>
      </c>
    </row>
    <row r="42" spans="2:26" x14ac:dyDescent="0.3">
      <c r="B42" s="4">
        <v>38</v>
      </c>
      <c r="C42" s="3">
        <v>19</v>
      </c>
      <c r="D42" s="12">
        <f t="shared" si="12"/>
        <v>1.2555999999999996E-2</v>
      </c>
      <c r="E42" s="10">
        <f t="shared" si="0"/>
        <v>0.78253006027242811</v>
      </c>
      <c r="F42" s="10">
        <f>D42/2*SUM($E$5:E41)</f>
        <v>0.21255721600918112</v>
      </c>
      <c r="G42" s="18">
        <f t="shared" si="6"/>
        <v>1.2948204582347245E-2</v>
      </c>
      <c r="N42" s="4">
        <v>38</v>
      </c>
      <c r="O42" s="3">
        <v>19</v>
      </c>
      <c r="P42" s="12">
        <f t="shared" si="13"/>
        <v>3.8900999999999984E-2</v>
      </c>
      <c r="Q42" s="10">
        <f t="shared" si="2"/>
        <v>0.46554518049333238</v>
      </c>
      <c r="R42" s="10">
        <f>P42/2*SUM($Q$5:Q41)</f>
        <v>0.52539973297348408</v>
      </c>
      <c r="S42" s="18">
        <f t="shared" si="8"/>
        <v>4.0646798175989041E-2</v>
      </c>
    </row>
    <row r="43" spans="2:26" x14ac:dyDescent="0.3">
      <c r="B43" s="4">
        <v>39</v>
      </c>
      <c r="C43" s="3">
        <v>19.5</v>
      </c>
      <c r="D43" s="12">
        <f t="shared" si="12"/>
        <v>1.2747999999999995E-2</v>
      </c>
      <c r="E43" s="10">
        <f t="shared" si="0"/>
        <v>0.77426942664532228</v>
      </c>
      <c r="F43" s="10">
        <f>D43/2*SUM($E$5:E42)</f>
        <v>0.22079538002923546</v>
      </c>
      <c r="G43" s="18">
        <f t="shared" si="6"/>
        <v>1.3162888831456776E-2</v>
      </c>
      <c r="N43" s="4">
        <v>39</v>
      </c>
      <c r="O43" s="3">
        <v>19.5</v>
      </c>
      <c r="P43" s="12">
        <f t="shared" si="13"/>
        <v>3.9120499999999982E-2</v>
      </c>
      <c r="Q43" s="10">
        <f t="shared" si="2"/>
        <v>0.45365588150233893</v>
      </c>
      <c r="R43" s="10">
        <f>P43/2*SUM($Q$5:Q42)</f>
        <v>0.5374704960415071</v>
      </c>
      <c r="S43" s="18">
        <f t="shared" si="8"/>
        <v>4.0947715020519304E-2</v>
      </c>
    </row>
    <row r="44" spans="2:26" x14ac:dyDescent="0.3">
      <c r="B44" s="4">
        <v>40</v>
      </c>
      <c r="C44" s="3">
        <v>20</v>
      </c>
      <c r="D44" s="6">
        <f>VLOOKUP(C44,par_input,2,FALSE)</f>
        <v>1.294E-2</v>
      </c>
      <c r="E44" s="10">
        <f t="shared" si="0"/>
        <v>0.76591419165867747</v>
      </c>
      <c r="F44" s="10">
        <f>D44/2*SUM($E$5:E43)</f>
        <v>0.22913034352129483</v>
      </c>
      <c r="G44" s="18">
        <f t="shared" si="6"/>
        <v>1.3378806394702014E-2</v>
      </c>
      <c r="N44" s="4">
        <v>40</v>
      </c>
      <c r="O44" s="3">
        <v>20</v>
      </c>
      <c r="P44" s="6">
        <f>(VLOOKUP(O44,par_input,2,FALSE)+VLOOKUP(O44,spread_input,2,FALSE))</f>
        <v>3.934E-2</v>
      </c>
      <c r="Q44" s="10">
        <f t="shared" si="2"/>
        <v>0.44189827712348351</v>
      </c>
      <c r="R44" s="10">
        <f>P44/2*SUM($Q$5:Q43)</f>
        <v>0.54940958376549587</v>
      </c>
      <c r="S44" s="18">
        <f t="shared" si="8"/>
        <v>4.1253479106509783E-2</v>
      </c>
    </row>
    <row r="45" spans="2:26" x14ac:dyDescent="0.3">
      <c r="B45" s="4">
        <v>41</v>
      </c>
      <c r="C45" s="3">
        <v>20.5</v>
      </c>
      <c r="D45" s="12">
        <f>($D$54-$D$44)/($B$54-$B$44)+D44</f>
        <v>1.2994E-2</v>
      </c>
      <c r="E45" s="10">
        <f t="shared" si="0"/>
        <v>0.75999960915545506</v>
      </c>
      <c r="F45" s="10">
        <f>D45/2*SUM($E$5:E44)</f>
        <v>0.23506267338386372</v>
      </c>
      <c r="G45" s="18">
        <f t="shared" si="6"/>
        <v>1.3432092628414605E-2</v>
      </c>
      <c r="N45" s="4">
        <v>41</v>
      </c>
      <c r="O45" s="3">
        <v>20.5</v>
      </c>
      <c r="P45" s="12">
        <f>($P$54-$P$44)/($N$54-$N$44)+P44</f>
        <v>3.9427499999999997E-2</v>
      </c>
      <c r="Q45" s="10">
        <f t="shared" si="2"/>
        <v>0.43213788935246877</v>
      </c>
      <c r="R45" s="10">
        <f>P45/2*SUM($Q$5:Q44)</f>
        <v>0.55934305233131132</v>
      </c>
      <c r="S45" s="18">
        <f t="shared" si="8"/>
        <v>4.1348977081034466E-2</v>
      </c>
    </row>
    <row r="46" spans="2:26" x14ac:dyDescent="0.3">
      <c r="B46" s="4">
        <v>42</v>
      </c>
      <c r="C46" s="3">
        <v>21</v>
      </c>
      <c r="D46" s="12">
        <f t="shared" ref="D46:D53" si="14">($D$54-$D$44)/($B$54-$B$44)+D45</f>
        <v>1.3048000000000001E-2</v>
      </c>
      <c r="E46" s="10">
        <f t="shared" si="0"/>
        <v>0.75408258931080574</v>
      </c>
      <c r="F46" s="10">
        <f>D46/2*SUM($E$5:E45)</f>
        <v>0.24099777587653115</v>
      </c>
      <c r="G46" s="18">
        <f t="shared" si="6"/>
        <v>1.3485901263568856E-2</v>
      </c>
      <c r="N46" s="4">
        <v>42</v>
      </c>
      <c r="O46" s="3">
        <v>21</v>
      </c>
      <c r="P46" s="12">
        <f t="shared" ref="P46:P53" si="15">($P$54-$P$44)/($N$54-$N$44)+P45</f>
        <v>3.9514999999999995E-2</v>
      </c>
      <c r="Q46" s="10">
        <f t="shared" si="2"/>
        <v>0.42252952674043615</v>
      </c>
      <c r="R46" s="10">
        <f>P46/2*SUM($Q$5:Q45)</f>
        <v>0.56912234613498924</v>
      </c>
      <c r="S46" s="18">
        <f t="shared" si="8"/>
        <v>4.1447242377715909E-2</v>
      </c>
    </row>
    <row r="47" spans="2:26" x14ac:dyDescent="0.3">
      <c r="B47" s="4">
        <v>43</v>
      </c>
      <c r="C47" s="3">
        <v>21.5</v>
      </c>
      <c r="D47" s="12">
        <f t="shared" si="14"/>
        <v>1.3102000000000001E-2</v>
      </c>
      <c r="E47" s="10">
        <f t="shared" si="0"/>
        <v>0.74816362414711968</v>
      </c>
      <c r="F47" s="10">
        <f>D47/2*SUM($E$5:E46)</f>
        <v>0.24693515595109064</v>
      </c>
      <c r="G47" s="18">
        <f t="shared" si="6"/>
        <v>1.3540213454379835E-2</v>
      </c>
      <c r="N47" s="4">
        <v>43</v>
      </c>
      <c r="O47" s="3">
        <v>21.5</v>
      </c>
      <c r="P47" s="12">
        <f t="shared" si="15"/>
        <v>3.9602499999999992E-2</v>
      </c>
      <c r="Q47" s="10">
        <f t="shared" si="2"/>
        <v>0.4130714740604482</v>
      </c>
      <c r="R47" s="10">
        <f>P47/2*SUM($Q$5:Q46)</f>
        <v>0.57874919441381389</v>
      </c>
      <c r="S47" s="18">
        <f t="shared" si="8"/>
        <v>4.1548219753109183E-2</v>
      </c>
    </row>
    <row r="48" spans="2:26" x14ac:dyDescent="0.3">
      <c r="B48" s="4">
        <v>44</v>
      </c>
      <c r="C48" s="3">
        <v>22</v>
      </c>
      <c r="D48" s="12">
        <f t="shared" si="14"/>
        <v>1.3156000000000001E-2</v>
      </c>
      <c r="E48" s="10">
        <f t="shared" si="0"/>
        <v>0.74224320268014299</v>
      </c>
      <c r="F48" s="10">
        <f>D48/2*SUM($E$5:E47)</f>
        <v>0.25287432153262618</v>
      </c>
      <c r="G48" s="18">
        <f t="shared" si="6"/>
        <v>1.3595012448309518E-2</v>
      </c>
      <c r="N48" s="4">
        <v>44</v>
      </c>
      <c r="O48" s="3">
        <v>22</v>
      </c>
      <c r="P48" s="12">
        <f t="shared" si="15"/>
        <v>3.9689999999999989E-2</v>
      </c>
      <c r="Q48" s="10">
        <f t="shared" si="2"/>
        <v>0.40376202366948294</v>
      </c>
      <c r="R48" s="10">
        <f>P48/2*SUM($Q$5:Q47)</f>
        <v>0.58822531897079411</v>
      </c>
      <c r="S48" s="18">
        <f t="shared" si="8"/>
        <v>4.1651864079340406E-2</v>
      </c>
    </row>
    <row r="49" spans="2:19" x14ac:dyDescent="0.3">
      <c r="B49" s="4">
        <v>45</v>
      </c>
      <c r="C49" s="3">
        <v>22.5</v>
      </c>
      <c r="D49" s="12">
        <f t="shared" si="14"/>
        <v>1.3210000000000001E-2</v>
      </c>
      <c r="E49" s="10">
        <f t="shared" si="0"/>
        <v>0.73632181087311044</v>
      </c>
      <c r="F49" s="10">
        <f>D49/2*SUM($E$5:E48)</f>
        <v>0.25881478356607635</v>
      </c>
      <c r="G49" s="18">
        <f t="shared" si="6"/>
        <v>1.3650283362201865E-2</v>
      </c>
      <c r="N49" s="4">
        <v>45</v>
      </c>
      <c r="O49" s="3">
        <v>22.5</v>
      </c>
      <c r="P49" s="12">
        <f t="shared" si="15"/>
        <v>3.9777499999999986E-2</v>
      </c>
      <c r="Q49" s="10">
        <f t="shared" si="2"/>
        <v>0.39459947572684806</v>
      </c>
      <c r="R49" s="10">
        <f>P49/2*SUM($Q$5:Q48)</f>
        <v>0.59755243395029123</v>
      </c>
      <c r="S49" s="18">
        <f t="shared" si="8"/>
        <v>4.1758139460771559E-2</v>
      </c>
    </row>
    <row r="50" spans="2:19" x14ac:dyDescent="0.3">
      <c r="B50" s="4">
        <v>46</v>
      </c>
      <c r="C50" s="3">
        <v>23</v>
      </c>
      <c r="D50" s="12">
        <f t="shared" si="14"/>
        <v>1.3264000000000001E-2</v>
      </c>
      <c r="E50" s="10">
        <f t="shared" si="0"/>
        <v>0.73039993159167482</v>
      </c>
      <c r="F50" s="10">
        <f>D50/2*SUM($E$5:E49)</f>
        <v>0.26475605606200692</v>
      </c>
      <c r="G50" s="18">
        <f t="shared" si="6"/>
        <v>1.3706012987890759E-2</v>
      </c>
      <c r="N50" s="4">
        <v>46</v>
      </c>
      <c r="O50" s="3">
        <v>23</v>
      </c>
      <c r="P50" s="12">
        <f t="shared" si="15"/>
        <v>3.9864999999999984E-2</v>
      </c>
      <c r="Q50" s="10">
        <f t="shared" si="2"/>
        <v>0.38558213840622613</v>
      </c>
      <c r="R50" s="10">
        <f>P50/2*SUM($Q$5:Q49)</f>
        <v>0.60673224561999284</v>
      </c>
      <c r="S50" s="18">
        <f t="shared" si="8"/>
        <v>4.1867018480236773E-2</v>
      </c>
    </row>
    <row r="51" spans="2:19" x14ac:dyDescent="0.3">
      <c r="B51" s="4">
        <v>47</v>
      </c>
      <c r="C51" s="3">
        <v>23.5</v>
      </c>
      <c r="D51" s="12">
        <f t="shared" si="14"/>
        <v>1.3318000000000002E-2</v>
      </c>
      <c r="E51" s="10">
        <f t="shared" si="0"/>
        <v>0.72447804455968534</v>
      </c>
      <c r="F51" s="10">
        <f>D51/2*SUM($E$5:E50)</f>
        <v>0.27069765614158964</v>
      </c>
      <c r="G51" s="18">
        <f t="shared" si="6"/>
        <v>1.3762189622901211E-2</v>
      </c>
      <c r="N51" s="4">
        <v>47</v>
      </c>
      <c r="O51" s="3">
        <v>23.5</v>
      </c>
      <c r="P51" s="12">
        <f t="shared" si="15"/>
        <v>3.9952499999999981E-2</v>
      </c>
      <c r="Q51" s="10">
        <f t="shared" si="2"/>
        <v>0.37670832810158833</v>
      </c>
      <c r="R51" s="10">
        <f>P51/2*SUM($Q$5:Q50)</f>
        <v>0.61576645215916948</v>
      </c>
      <c r="S51" s="18">
        <f t="shared" si="8"/>
        <v>4.1978481556566472E-2</v>
      </c>
    </row>
    <row r="52" spans="2:19" x14ac:dyDescent="0.3">
      <c r="B52" s="4">
        <v>48</v>
      </c>
      <c r="C52" s="3">
        <v>24</v>
      </c>
      <c r="D52" s="12">
        <f t="shared" si="14"/>
        <v>1.3372000000000002E-2</v>
      </c>
      <c r="E52" s="10">
        <f t="shared" si="0"/>
        <v>0.71855662631566819</v>
      </c>
      <c r="F52" s="10">
        <f>D52/2*SUM($E$5:E51)</f>
        <v>0.27663910408078241</v>
      </c>
      <c r="G52" s="18">
        <f t="shared" si="6"/>
        <v>1.381880292259785E-2</v>
      </c>
      <c r="N52" s="4">
        <v>48</v>
      </c>
      <c r="O52" s="3">
        <v>24</v>
      </c>
      <c r="P52" s="12">
        <f t="shared" si="15"/>
        <v>4.0039999999999978E-2</v>
      </c>
      <c r="Q52" s="10">
        <f t="shared" si="2"/>
        <v>0.3679763696269111</v>
      </c>
      <c r="R52" s="10">
        <f>P52/2*SUM($Q$5:Q51)</f>
        <v>0.6246567434531578</v>
      </c>
      <c r="S52" s="18">
        <f t="shared" si="8"/>
        <v>4.2092516398274604E-2</v>
      </c>
    </row>
    <row r="53" spans="2:19" x14ac:dyDescent="0.3">
      <c r="B53" s="4">
        <v>49</v>
      </c>
      <c r="C53" s="3">
        <v>24.5</v>
      </c>
      <c r="D53" s="12">
        <f t="shared" si="14"/>
        <v>1.3426000000000002E-2</v>
      </c>
      <c r="E53" s="10">
        <f t="shared" si="0"/>
        <v>0.71263615017019655</v>
      </c>
      <c r="F53" s="10">
        <f>D53/2*SUM($E$5:E52)</f>
        <v>0.28257992335370929</v>
      </c>
      <c r="G53" s="18">
        <f t="shared" si="6"/>
        <v>1.387584377072093E-2</v>
      </c>
      <c r="N53" s="4">
        <v>49</v>
      </c>
      <c r="O53" s="3">
        <v>24.5</v>
      </c>
      <c r="P53" s="12">
        <f t="shared" si="15"/>
        <v>4.0127499999999976E-2</v>
      </c>
      <c r="Q53" s="10">
        <f t="shared" si="2"/>
        <v>0.3593845964097761</v>
      </c>
      <c r="R53" s="10">
        <f>P53/2*SUM($Q$5:Q52)</f>
        <v>0.63340480089400875</v>
      </c>
      <c r="S53" s="18">
        <f t="shared" si="8"/>
        <v>4.2209117540839891E-2</v>
      </c>
    </row>
    <row r="54" spans="2:19" x14ac:dyDescent="0.3">
      <c r="B54" s="4">
        <v>50</v>
      </c>
      <c r="C54" s="3">
        <v>25</v>
      </c>
      <c r="D54" s="6">
        <f>VLOOKUP(C54,par_input,2,FALSE)</f>
        <v>1.3480000000000001E-2</v>
      </c>
      <c r="E54" s="10">
        <f t="shared" si="0"/>
        <v>0.70671708616402162</v>
      </c>
      <c r="F54" s="10">
        <f>D54/2*SUM($E$5:E53)</f>
        <v>0.28851964067523672</v>
      </c>
      <c r="G54" s="18">
        <f t="shared" si="6"/>
        <v>1.393330416575056E-2</v>
      </c>
      <c r="N54" s="4">
        <v>50</v>
      </c>
      <c r="O54" s="3">
        <v>25</v>
      </c>
      <c r="P54" s="6">
        <f>(VLOOKUP(O54,par_input,2,FALSE)+VLOOKUP(O54,spread_input,2,FALSE))</f>
        <v>4.0214999999999994E-2</v>
      </c>
      <c r="Q54" s="10">
        <f t="shared" si="2"/>
        <v>0.35093135067898101</v>
      </c>
      <c r="R54" s="10">
        <f>P54/2*SUM($Q$5:Q53)</f>
        <v>0.64201229718723885</v>
      </c>
      <c r="S54" s="18">
        <f t="shared" si="8"/>
        <v>4.2328285957121903E-2</v>
      </c>
    </row>
    <row r="55" spans="2:19" x14ac:dyDescent="0.3">
      <c r="B55" s="4">
        <v>51</v>
      </c>
      <c r="C55" s="3">
        <v>25.5</v>
      </c>
      <c r="D55" s="12">
        <f>($D$64-$D$54)/($B$64-$B$54)+D54</f>
        <v>1.3465000000000001E-2</v>
      </c>
      <c r="E55" s="10">
        <f t="shared" si="0"/>
        <v>0.70231510312301304</v>
      </c>
      <c r="F55" s="10">
        <f>D55/2*SUM($E$5:E54)</f>
        <v>0.29295656044521518</v>
      </c>
      <c r="G55" s="18">
        <f t="shared" si="6"/>
        <v>1.3905889568774477E-2</v>
      </c>
      <c r="N55" s="4">
        <v>51</v>
      </c>
      <c r="O55" s="3">
        <v>25.5</v>
      </c>
      <c r="P55" s="12">
        <f>($P$64-$P$54)/($N$64-$N$54)+P54</f>
        <v>4.0240999999999992E-2</v>
      </c>
      <c r="Q55" s="10">
        <f t="shared" si="2"/>
        <v>0.34359834119291005</v>
      </c>
      <c r="R55" s="10">
        <f>P55/2*SUM($Q$5:Q54)</f>
        <v>0.64948828838311623</v>
      </c>
      <c r="S55" s="18">
        <f t="shared" si="8"/>
        <v>4.2335252579837501E-2</v>
      </c>
    </row>
    <row r="56" spans="2:19" x14ac:dyDescent="0.3">
      <c r="B56" s="4">
        <v>52</v>
      </c>
      <c r="C56" s="3">
        <v>26</v>
      </c>
      <c r="D56" s="12">
        <f t="shared" ref="D56:D63" si="16">($D$64-$D$54)/($B$64-$B$54)+D55</f>
        <v>1.3450000000000002E-2</v>
      </c>
      <c r="E56" s="10">
        <f t="shared" si="0"/>
        <v>0.69795299001917199</v>
      </c>
      <c r="F56" s="10">
        <f>D56/2*SUM($E$5:E55)</f>
        <v>0.29735327612295043</v>
      </c>
      <c r="G56" s="18">
        <f t="shared" si="6"/>
        <v>1.3878838838203844E-2</v>
      </c>
      <c r="N56" s="4">
        <v>52</v>
      </c>
      <c r="O56" s="3">
        <v>26</v>
      </c>
      <c r="P56" s="12">
        <f t="shared" ref="P56:P63" si="17">($P$64-$P$54)/($N$64-$N$54)+P55</f>
        <v>4.026699999999999E-2</v>
      </c>
      <c r="Q56" s="10">
        <f t="shared" si="2"/>
        <v>0.33640129978319039</v>
      </c>
      <c r="R56" s="10">
        <f>P56/2*SUM($Q$5:Q55)</f>
        <v>0.65682576464762354</v>
      </c>
      <c r="S56" s="18">
        <f t="shared" si="8"/>
        <v>4.2343966545020706E-2</v>
      </c>
    </row>
    <row r="57" spans="2:19" x14ac:dyDescent="0.3">
      <c r="B57" s="4">
        <v>53</v>
      </c>
      <c r="C57" s="3">
        <v>26.5</v>
      </c>
      <c r="D57" s="12">
        <f t="shared" si="16"/>
        <v>1.3435000000000002E-2</v>
      </c>
      <c r="E57" s="10">
        <f t="shared" si="0"/>
        <v>0.69363038332067972</v>
      </c>
      <c r="F57" s="10">
        <f>D57/2*SUM($E$5:E56)</f>
        <v>0.30171015457936379</v>
      </c>
      <c r="G57" s="18">
        <f t="shared" si="6"/>
        <v>1.3852129234145139E-2</v>
      </c>
      <c r="N57" s="4">
        <v>53</v>
      </c>
      <c r="O57" s="3">
        <v>26.5</v>
      </c>
      <c r="P57" s="12">
        <f t="shared" si="17"/>
        <v>4.0292999999999989E-2</v>
      </c>
      <c r="Q57" s="10">
        <f t="shared" si="2"/>
        <v>0.32933781640750676</v>
      </c>
      <c r="R57" s="10">
        <f>P57/2*SUM($Q$5:Q56)</f>
        <v>0.66402717927424093</v>
      </c>
      <c r="S57" s="18">
        <f t="shared" si="8"/>
        <v>4.235436323626951E-2</v>
      </c>
    </row>
    <row r="58" spans="2:19" x14ac:dyDescent="0.3">
      <c r="B58" s="4">
        <v>54</v>
      </c>
      <c r="C58" s="3">
        <v>27</v>
      </c>
      <c r="D58" s="12">
        <f t="shared" si="16"/>
        <v>1.3420000000000003E-2</v>
      </c>
      <c r="E58" s="10">
        <f t="shared" si="0"/>
        <v>0.68934692309604906</v>
      </c>
      <c r="F58" s="10">
        <f>D58/2*SUM($E$5:E57)</f>
        <v>0.30602755904997997</v>
      </c>
      <c r="G58" s="18">
        <f t="shared" si="6"/>
        <v>1.3825739703250406E-2</v>
      </c>
      <c r="N58" s="4">
        <v>54</v>
      </c>
      <c r="O58" s="3">
        <v>27</v>
      </c>
      <c r="P58" s="12">
        <f t="shared" si="17"/>
        <v>4.0318999999999987E-2</v>
      </c>
      <c r="Q58" s="10">
        <f t="shared" si="2"/>
        <v>0.3224055218409082</v>
      </c>
      <c r="R58" s="10">
        <f>P58/2*SUM($Q$5:Q57)</f>
        <v>0.67109494404154069</v>
      </c>
      <c r="S58" s="18">
        <f t="shared" si="8"/>
        <v>4.2366383749299796E-2</v>
      </c>
    </row>
    <row r="59" spans="2:19" x14ac:dyDescent="0.3">
      <c r="B59" s="4">
        <v>55</v>
      </c>
      <c r="C59" s="3">
        <v>27.5</v>
      </c>
      <c r="D59" s="12">
        <f t="shared" si="16"/>
        <v>1.3405000000000004E-2</v>
      </c>
      <c r="E59" s="10">
        <f t="shared" si="0"/>
        <v>0.68510225297673277</v>
      </c>
      <c r="F59" s="10">
        <f>D59/2*SUM($E$5:E58)</f>
        <v>0.31030584917269072</v>
      </c>
      <c r="G59" s="18">
        <f t="shared" si="6"/>
        <v>1.3799650725565105E-2</v>
      </c>
      <c r="N59" s="4">
        <v>55</v>
      </c>
      <c r="O59" s="3">
        <v>27.5</v>
      </c>
      <c r="P59" s="12">
        <f t="shared" si="17"/>
        <v>4.0344999999999985E-2</v>
      </c>
      <c r="Q59" s="10">
        <f t="shared" si="2"/>
        <v>0.31560208701967457</v>
      </c>
      <c r="R59" s="10">
        <f>P59/2*SUM($Q$5:Q58)</f>
        <v>0.67803142987992215</v>
      </c>
      <c r="S59" s="18">
        <f t="shared" si="8"/>
        <v>4.2379974402693144E-2</v>
      </c>
    </row>
    <row r="60" spans="2:19" x14ac:dyDescent="0.3">
      <c r="B60" s="4">
        <v>56</v>
      </c>
      <c r="C60" s="3">
        <v>28</v>
      </c>
      <c r="D60" s="12">
        <f t="shared" si="16"/>
        <v>1.3390000000000004E-2</v>
      </c>
      <c r="E60" s="10">
        <f t="shared" si="0"/>
        <v>0.6808960201201858</v>
      </c>
      <c r="F60" s="10">
        <f>D60/2*SUM($E$5:E59)</f>
        <v>0.31454538102510621</v>
      </c>
      <c r="G60" s="18">
        <f t="shared" si="6"/>
        <v>1.3773844177785488E-2</v>
      </c>
      <c r="N60" s="4">
        <v>56</v>
      </c>
      <c r="O60" s="3">
        <v>28</v>
      </c>
      <c r="P60" s="12">
        <f t="shared" si="17"/>
        <v>4.0370999999999983E-2</v>
      </c>
      <c r="Q60" s="10">
        <f t="shared" si="2"/>
        <v>0.30892522239505499</v>
      </c>
      <c r="R60" s="10">
        <f>P60/2*SUM($Q$5:Q59)</f>
        <v>0.68483896752828766</v>
      </c>
      <c r="S60" s="18">
        <f t="shared" si="8"/>
        <v>4.2395086302304819E-2</v>
      </c>
    </row>
    <row r="61" spans="2:19" x14ac:dyDescent="0.3">
      <c r="B61" s="4">
        <v>57</v>
      </c>
      <c r="C61" s="3">
        <v>28.5</v>
      </c>
      <c r="D61" s="12">
        <f t="shared" si="16"/>
        <v>1.3375000000000005E-2</v>
      </c>
      <c r="E61" s="10">
        <f t="shared" si="0"/>
        <v>0.67672787517328048</v>
      </c>
      <c r="F61" s="10">
        <f>D61/2*SUM($E$5:E60)</f>
        <v>0.31874650716149894</v>
      </c>
      <c r="G61" s="18">
        <f t="shared" si="6"/>
        <v>1.3748303210916024E-2</v>
      </c>
      <c r="N61" s="4">
        <v>57</v>
      </c>
      <c r="O61" s="3">
        <v>28.5</v>
      </c>
      <c r="P61" s="12">
        <f t="shared" si="17"/>
        <v>4.0396999999999982E-2</v>
      </c>
      <c r="Q61" s="10">
        <f t="shared" si="2"/>
        <v>0.30237267729682471</v>
      </c>
      <c r="R61" s="10">
        <f>P61/2*SUM($Q$5:Q60)</f>
        <v>0.69151984818079515</v>
      </c>
      <c r="S61" s="18">
        <f t="shared" si="8"/>
        <v>4.2411674952794964E-2</v>
      </c>
    </row>
    <row r="62" spans="2:19" x14ac:dyDescent="0.3">
      <c r="B62" s="4">
        <v>58</v>
      </c>
      <c r="C62" s="3">
        <v>29</v>
      </c>
      <c r="D62" s="12">
        <f t="shared" si="16"/>
        <v>1.3360000000000006E-2</v>
      </c>
      <c r="E62" s="10">
        <f t="shared" si="0"/>
        <v>0.67259747223611965</v>
      </c>
      <c r="F62" s="10">
        <f>D62/2*SUM($E$5:E61)</f>
        <v>0.3229095766493445</v>
      </c>
      <c r="G62" s="18">
        <f t="shared" si="6"/>
        <v>1.3723012140584689E-2</v>
      </c>
      <c r="N62" s="4">
        <v>58</v>
      </c>
      <c r="O62" s="3">
        <v>29</v>
      </c>
      <c r="P62" s="12">
        <f t="shared" si="17"/>
        <v>4.042299999999998E-2</v>
      </c>
      <c r="Q62" s="10">
        <f t="shared" si="2"/>
        <v>0.29594223930642755</v>
      </c>
      <c r="R62" s="10">
        <f>P62/2*SUM($Q$5:Q61)</f>
        <v>0.69807632412383203</v>
      </c>
      <c r="S62" s="18">
        <f t="shared" si="8"/>
        <v>4.2429699910657703E-2</v>
      </c>
    </row>
    <row r="63" spans="2:19" x14ac:dyDescent="0.3">
      <c r="B63" s="4">
        <v>59</v>
      </c>
      <c r="C63" s="3">
        <v>29.5</v>
      </c>
      <c r="D63" s="12">
        <f t="shared" si="16"/>
        <v>1.3345000000000006E-2</v>
      </c>
      <c r="E63" s="10">
        <f t="shared" si="0"/>
        <v>0.66850446882629078</v>
      </c>
      <c r="F63" s="10">
        <f>D63/2*SUM($E$5:E62)</f>
        <v>0.32703493510546422</v>
      </c>
      <c r="G63" s="18">
        <f t="shared" si="6"/>
        <v>1.3697956348513785E-2</v>
      </c>
      <c r="N63" s="4">
        <v>59</v>
      </c>
      <c r="O63" s="3">
        <v>29.5</v>
      </c>
      <c r="P63" s="12">
        <f t="shared" si="17"/>
        <v>4.0448999999999978E-2</v>
      </c>
      <c r="Q63" s="10">
        <f t="shared" si="2"/>
        <v>0.2896317336396616</v>
      </c>
      <c r="R63" s="10">
        <f>P63/2*SUM($Q$5:Q62)</f>
        <v>0.70451060936334187</v>
      </c>
      <c r="S63" s="18">
        <f t="shared" si="8"/>
        <v>4.2449124473887601E-2</v>
      </c>
    </row>
    <row r="64" spans="2:19" ht="15" thickBot="1" x14ac:dyDescent="0.35">
      <c r="B64" s="4">
        <v>60</v>
      </c>
      <c r="C64" s="3">
        <v>30</v>
      </c>
      <c r="D64" s="7">
        <f>VLOOKUP(C64,par_input,2,FALSE)</f>
        <v>1.333E-2</v>
      </c>
      <c r="E64" s="11">
        <f t="shared" si="0"/>
        <v>0.66444852584348157</v>
      </c>
      <c r="F64" s="11">
        <f>D64/2*SUM($E$5:E63)</f>
        <v>0.33112292473177379</v>
      </c>
      <c r="G64" s="19">
        <f t="shared" si="6"/>
        <v>1.3673122193848197E-2</v>
      </c>
      <c r="N64" s="4">
        <v>60</v>
      </c>
      <c r="O64" s="3">
        <v>30</v>
      </c>
      <c r="P64" s="7">
        <f>(VLOOKUP(O64,par_input,2,FALSE)+VLOOKUP(O64,spread_input,2,FALSE))</f>
        <v>4.0475000000000004E-2</v>
      </c>
      <c r="Q64" s="11">
        <f t="shared" si="2"/>
        <v>0.28343902253873032</v>
      </c>
      <c r="R64" s="11">
        <f>P64/2*SUM($Q$5:Q63)</f>
        <v>0.7108248802426429</v>
      </c>
      <c r="S64" s="19">
        <f t="shared" si="8"/>
        <v>4.2469915404068637E-2</v>
      </c>
    </row>
  </sheetData>
  <sheetProtection sheet="1" objects="1" scenarios="1"/>
  <pageMargins left="0.7" right="0.7" top="0.75" bottom="0.75" header="0.3" footer="0.3"/>
  <pageSetup orientation="portrait" r:id="rId1"/>
  <headerFooter>
    <oddHeader>&amp;C&amp;G</oddHeader>
  </headerFooter>
  <ignoredErrors>
    <ignoredError sqref="D7 P7 P13 P11 P9 P19 D9 D11 D13 D15:D17 D19 D21 D23 D25:D33 D35:D43 D45:D53 D55:D63 P21 P23" formula="1"/>
  </ignoredError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5"/>
  <sheetViews>
    <sheetView showGridLines="0" view="pageLayout" topLeftCell="B1" zoomScaleNormal="80" workbookViewId="0">
      <selection activeCell="C3" sqref="C3"/>
    </sheetView>
  </sheetViews>
  <sheetFormatPr defaultColWidth="9.21875" defaultRowHeight="14.4" x14ac:dyDescent="0.3"/>
  <cols>
    <col min="1" max="1" width="81.77734375" bestFit="1" customWidth="1"/>
    <col min="2" max="2" width="44.5546875" customWidth="1"/>
    <col min="3" max="3" width="28.44140625" customWidth="1"/>
    <col min="4" max="4" width="2.77734375" customWidth="1"/>
    <col min="5" max="5" width="15.21875" customWidth="1"/>
    <col min="6" max="6" width="16.5546875" customWidth="1"/>
    <col min="7" max="10" width="17.21875" customWidth="1"/>
    <col min="11" max="11" width="11.21875" customWidth="1"/>
    <col min="12" max="13" width="2.5546875" customWidth="1"/>
    <col min="14" max="14" width="6.21875" customWidth="1"/>
    <col min="15" max="15" width="14" bestFit="1" customWidth="1"/>
    <col min="17" max="17" width="12" customWidth="1"/>
    <col min="19" max="19" width="11.21875" customWidth="1"/>
    <col min="20" max="20" width="15.21875" customWidth="1"/>
  </cols>
  <sheetData>
    <row r="1" spans="1:24" ht="18" x14ac:dyDescent="0.35">
      <c r="A1" s="137"/>
      <c r="B1" s="139"/>
      <c r="C1" s="53"/>
      <c r="D1" s="53"/>
      <c r="E1" s="53"/>
      <c r="F1" s="53"/>
      <c r="G1" s="53"/>
      <c r="H1" s="53"/>
      <c r="I1" s="53"/>
      <c r="J1" s="53"/>
      <c r="K1" s="53"/>
      <c r="L1" s="53"/>
      <c r="M1" s="53"/>
      <c r="N1" s="52" t="s">
        <v>45</v>
      </c>
      <c r="O1" s="53"/>
      <c r="P1" s="53"/>
      <c r="Q1" s="53"/>
      <c r="R1" s="53"/>
      <c r="S1" s="53"/>
      <c r="T1" s="53"/>
    </row>
    <row r="2" spans="1:24" ht="15.6" x14ac:dyDescent="0.3">
      <c r="A2" s="53"/>
      <c r="B2" s="53"/>
      <c r="C2" s="53"/>
      <c r="D2" s="53"/>
      <c r="E2" s="53"/>
      <c r="F2" s="53"/>
      <c r="G2" s="53"/>
      <c r="H2" s="53"/>
      <c r="I2" s="53"/>
      <c r="J2" s="53"/>
      <c r="K2" s="53"/>
      <c r="L2" s="53"/>
      <c r="M2" s="53"/>
      <c r="N2" s="146" t="s">
        <v>67</v>
      </c>
      <c r="O2" s="54"/>
      <c r="P2" s="54"/>
      <c r="Q2" s="54"/>
      <c r="R2" s="54"/>
      <c r="S2" s="54"/>
      <c r="T2" s="54"/>
      <c r="U2" s="44"/>
      <c r="V2" s="44"/>
      <c r="W2" s="44"/>
      <c r="X2" s="44"/>
    </row>
    <row r="3" spans="1:24" ht="58.2" thickBot="1" x14ac:dyDescent="0.35">
      <c r="A3" s="53"/>
      <c r="B3" s="55" t="s">
        <v>13</v>
      </c>
      <c r="C3" s="138"/>
      <c r="D3" s="53"/>
      <c r="E3" s="53"/>
      <c r="F3" s="53"/>
      <c r="G3" s="53"/>
      <c r="H3" s="53"/>
      <c r="I3" s="53"/>
      <c r="J3" s="53"/>
      <c r="K3" s="53"/>
      <c r="L3" s="53"/>
      <c r="M3" s="53"/>
      <c r="N3" s="56" t="s">
        <v>25</v>
      </c>
      <c r="O3" s="57" t="s">
        <v>26</v>
      </c>
      <c r="P3" s="57" t="s">
        <v>27</v>
      </c>
      <c r="Q3" s="57" t="s">
        <v>28</v>
      </c>
      <c r="R3" s="57" t="s">
        <v>29</v>
      </c>
      <c r="S3" s="57" t="s">
        <v>61</v>
      </c>
      <c r="T3" s="40" t="s">
        <v>46</v>
      </c>
      <c r="U3" s="57"/>
      <c r="V3" s="136"/>
    </row>
    <row r="4" spans="1:24" x14ac:dyDescent="0.3">
      <c r="A4" s="53"/>
      <c r="B4" s="13" t="s">
        <v>14</v>
      </c>
      <c r="C4" s="66" t="s">
        <v>31</v>
      </c>
      <c r="D4" s="53"/>
      <c r="E4" s="53"/>
      <c r="F4" s="53"/>
      <c r="G4" s="53"/>
      <c r="H4" s="53"/>
      <c r="I4" s="53"/>
      <c r="J4" s="53"/>
      <c r="K4" s="53"/>
      <c r="L4" s="53"/>
      <c r="M4" s="53"/>
      <c r="N4" s="53">
        <v>1</v>
      </c>
      <c r="O4" s="36">
        <f t="array" aca="1" ref="O4:O33" ca="1">OFFSET('Méthode bootstrap liquide'!J5,0,IF(interest_type_Liq="Au comptant",0,1),30,1)</f>
        <v>4.2645368999998379E-3</v>
      </c>
      <c r="P4" s="36">
        <f t="array" aca="1" ref="P4:P33" ca="1">OFFSET('Méthode bootstrap liquide'!Y5,0,IF(interest_type_Liq="Au comptant",0,1),30,1)*liq_spread_ratio_Liq</f>
        <v>2.9336068125000781E-3</v>
      </c>
      <c r="Q4" s="36">
        <f t="shared" ref="Q4:Q33" si="0">liq_prem_add_Liq</f>
        <v>0</v>
      </c>
      <c r="R4" s="37">
        <f t="shared" ref="R4:R33" ca="1" si="1">P4+Q4</f>
        <v>2.9336068125000781E-3</v>
      </c>
      <c r="S4" s="41">
        <f ca="1">O4+R4</f>
        <v>7.1981437124999156E-3</v>
      </c>
      <c r="T4" s="110">
        <f ca="1">S4</f>
        <v>7.1981437124999156E-3</v>
      </c>
    </row>
    <row r="5" spans="1:24" x14ac:dyDescent="0.3">
      <c r="A5" s="53"/>
      <c r="B5" s="88" t="s">
        <v>15</v>
      </c>
      <c r="C5" s="47">
        <v>30</v>
      </c>
      <c r="D5" s="53"/>
      <c r="E5" s="53"/>
      <c r="F5" s="53"/>
      <c r="G5" s="53"/>
      <c r="H5" s="53"/>
      <c r="I5" s="53"/>
      <c r="J5" s="53"/>
      <c r="K5" s="53"/>
      <c r="L5" s="53"/>
      <c r="M5" s="53"/>
      <c r="N5" s="53">
        <v>2</v>
      </c>
      <c r="O5" s="36">
        <f ca="1"/>
        <v>4.5659707931942073E-3</v>
      </c>
      <c r="P5" s="36">
        <f ca="1"/>
        <v>4.0066007717034502E-3</v>
      </c>
      <c r="Q5" s="36">
        <f t="shared" si="0"/>
        <v>0</v>
      </c>
      <c r="R5" s="37">
        <f t="shared" ca="1" si="1"/>
        <v>4.0066007717034502E-3</v>
      </c>
      <c r="S5" s="41">
        <f t="shared" ref="S5:S68" ca="1" si="2">O5+R5</f>
        <v>8.5725715648976575E-3</v>
      </c>
      <c r="T5" s="110">
        <f t="shared" ref="T5:T33" ca="1" si="3">((1+S5)^N5)/((1+S4)^N4)-1</f>
        <v>9.9488749687279832E-3</v>
      </c>
    </row>
    <row r="6" spans="1:24" x14ac:dyDescent="0.3">
      <c r="A6" s="53"/>
      <c r="B6" s="88" t="s">
        <v>42</v>
      </c>
      <c r="C6" s="46">
        <v>0.04</v>
      </c>
      <c r="D6" s="53"/>
      <c r="E6" s="53"/>
      <c r="F6" s="53"/>
      <c r="G6" s="53"/>
      <c r="H6" s="53"/>
      <c r="I6" s="53"/>
      <c r="J6" s="53"/>
      <c r="K6" s="53"/>
      <c r="L6" s="53"/>
      <c r="M6" s="53"/>
      <c r="N6" s="53">
        <v>3</v>
      </c>
      <c r="O6" s="36">
        <f ca="1"/>
        <v>5.1402246110214822E-3</v>
      </c>
      <c r="P6" s="36">
        <f ca="1"/>
        <v>5.1532673126711837E-3</v>
      </c>
      <c r="Q6" s="36">
        <f t="shared" si="0"/>
        <v>0</v>
      </c>
      <c r="R6" s="37">
        <f t="shared" ca="1" si="1"/>
        <v>5.1532673126711837E-3</v>
      </c>
      <c r="S6" s="41">
        <f t="shared" ca="1" si="2"/>
        <v>1.0293491923692666E-2</v>
      </c>
      <c r="T6" s="110">
        <f t="shared" ca="1" si="3"/>
        <v>1.37441468349222E-2</v>
      </c>
    </row>
    <row r="7" spans="1:24" x14ac:dyDescent="0.3">
      <c r="A7" s="53"/>
      <c r="B7" s="145" t="s">
        <v>65</v>
      </c>
      <c r="C7" s="47">
        <v>70</v>
      </c>
      <c r="D7" s="53"/>
      <c r="E7" s="53"/>
      <c r="F7" s="53"/>
      <c r="G7" s="53"/>
      <c r="H7" s="53"/>
      <c r="I7" s="53"/>
      <c r="J7" s="53"/>
      <c r="K7" s="53"/>
      <c r="L7" s="53"/>
      <c r="M7" s="53"/>
      <c r="N7" s="53">
        <v>4</v>
      </c>
      <c r="O7" s="36">
        <f ca="1"/>
        <v>5.8479211722266555E-3</v>
      </c>
      <c r="P7" s="36">
        <f ca="1"/>
        <v>6.5184235058890925E-3</v>
      </c>
      <c r="Q7" s="36">
        <f t="shared" si="0"/>
        <v>0</v>
      </c>
      <c r="R7" s="37">
        <f t="shared" ca="1" si="1"/>
        <v>6.5184235058890925E-3</v>
      </c>
      <c r="S7" s="41">
        <f t="shared" ca="1" si="2"/>
        <v>1.2366344678115749E-2</v>
      </c>
      <c r="T7" s="110">
        <f t="shared" ca="1" si="3"/>
        <v>1.8610455508459411E-2</v>
      </c>
    </row>
    <row r="8" spans="1:24" x14ac:dyDescent="0.3">
      <c r="A8" s="53"/>
      <c r="B8" s="14" t="s">
        <v>16</v>
      </c>
      <c r="C8" s="48">
        <v>0.9</v>
      </c>
      <c r="D8" s="53"/>
      <c r="E8" s="53"/>
      <c r="F8" s="53"/>
      <c r="G8" s="53"/>
      <c r="H8" s="53"/>
      <c r="I8" s="53"/>
      <c r="J8" s="53"/>
      <c r="K8" s="53"/>
      <c r="L8" s="53"/>
      <c r="M8" s="53"/>
      <c r="N8" s="53">
        <v>5</v>
      </c>
      <c r="O8" s="36">
        <f ca="1"/>
        <v>6.1612764103673445E-3</v>
      </c>
      <c r="P8" s="36">
        <f ca="1"/>
        <v>7.5737692169114195E-3</v>
      </c>
      <c r="Q8" s="36">
        <f t="shared" si="0"/>
        <v>0</v>
      </c>
      <c r="R8" s="37">
        <f t="shared" ca="1" si="1"/>
        <v>7.5737692169114195E-3</v>
      </c>
      <c r="S8" s="41">
        <f t="shared" ca="1" si="2"/>
        <v>1.3735045627278765E-2</v>
      </c>
      <c r="T8" s="110">
        <f t="shared" ca="1" si="3"/>
        <v>1.9228379047475208E-2</v>
      </c>
    </row>
    <row r="9" spans="1:24" x14ac:dyDescent="0.3">
      <c r="A9" s="53"/>
      <c r="B9" s="14" t="s">
        <v>17</v>
      </c>
      <c r="C9" s="49">
        <v>0</v>
      </c>
      <c r="D9" s="53"/>
      <c r="E9" s="53"/>
      <c r="F9" s="53"/>
      <c r="G9" s="53"/>
      <c r="H9" s="53"/>
      <c r="I9" s="53"/>
      <c r="J9" s="53"/>
      <c r="K9" s="53"/>
      <c r="L9" s="53"/>
      <c r="M9" s="53"/>
      <c r="N9" s="53">
        <v>6</v>
      </c>
      <c r="O9" s="36">
        <f ca="1"/>
        <v>6.4299147069000195E-3</v>
      </c>
      <c r="P9" s="36">
        <f ca="1"/>
        <v>8.6129526457685342E-3</v>
      </c>
      <c r="Q9" s="36">
        <f t="shared" si="0"/>
        <v>0</v>
      </c>
      <c r="R9" s="37">
        <f t="shared" ca="1" si="1"/>
        <v>8.6129526457685342E-3</v>
      </c>
      <c r="S9" s="41">
        <f t="shared" ca="1" si="2"/>
        <v>1.5042867352668554E-2</v>
      </c>
      <c r="T9" s="110">
        <f t="shared" ca="1" si="3"/>
        <v>2.1607327909166196E-2</v>
      </c>
    </row>
    <row r="10" spans="1:24" x14ac:dyDescent="0.3">
      <c r="A10" s="53"/>
      <c r="B10" s="105" t="s">
        <v>18</v>
      </c>
      <c r="C10" s="106">
        <v>7.0000000000000001E-3</v>
      </c>
      <c r="D10" s="53"/>
      <c r="E10" s="53"/>
      <c r="F10" s="53"/>
      <c r="G10" s="53"/>
      <c r="H10" s="53"/>
      <c r="I10" s="53"/>
      <c r="J10" s="53"/>
      <c r="K10" s="53"/>
      <c r="L10" s="53"/>
      <c r="M10" s="53"/>
      <c r="N10" s="53">
        <v>7</v>
      </c>
      <c r="O10" s="36">
        <f ca="1"/>
        <v>6.6996571431408025E-3</v>
      </c>
      <c r="P10" s="36">
        <f ca="1"/>
        <v>9.6672278164998456E-3</v>
      </c>
      <c r="Q10" s="36">
        <f t="shared" si="0"/>
        <v>0</v>
      </c>
      <c r="R10" s="37">
        <f t="shared" ca="1" si="1"/>
        <v>9.6672278164998456E-3</v>
      </c>
      <c r="S10" s="41">
        <f t="shared" ca="1" si="2"/>
        <v>1.636688495964065E-2</v>
      </c>
      <c r="T10" s="110">
        <f t="shared" ca="1" si="3"/>
        <v>2.434733745241946E-2</v>
      </c>
    </row>
    <row r="11" spans="1:24" ht="15" thickBot="1" x14ac:dyDescent="0.35">
      <c r="A11" s="138" t="s">
        <v>52</v>
      </c>
      <c r="B11" s="15" t="s">
        <v>43</v>
      </c>
      <c r="C11" s="107" t="s">
        <v>62</v>
      </c>
      <c r="D11" s="53"/>
      <c r="E11" s="53"/>
      <c r="F11" s="53"/>
      <c r="G11" s="53"/>
      <c r="H11" s="53"/>
      <c r="I11" s="53"/>
      <c r="J11" s="53"/>
      <c r="K11" s="53"/>
      <c r="L11" s="53"/>
      <c r="M11" s="53"/>
      <c r="N11" s="53">
        <v>8</v>
      </c>
      <c r="O11" s="36">
        <f ca="1"/>
        <v>6.76944500168708E-3</v>
      </c>
      <c r="P11" s="36">
        <f ca="1"/>
        <v>1.0422358036280355E-2</v>
      </c>
      <c r="Q11" s="36">
        <f t="shared" si="0"/>
        <v>0</v>
      </c>
      <c r="R11" s="37">
        <f t="shared" ca="1" si="1"/>
        <v>1.0422358036280355E-2</v>
      </c>
      <c r="S11" s="41">
        <f t="shared" ca="1" si="2"/>
        <v>1.7191803037967433E-2</v>
      </c>
      <c r="T11" s="110">
        <f t="shared" ca="1" si="3"/>
        <v>2.2985006935637431E-2</v>
      </c>
    </row>
    <row r="12" spans="1:24" x14ac:dyDescent="0.3">
      <c r="A12" s="53"/>
      <c r="B12" s="42" t="s">
        <v>44</v>
      </c>
      <c r="D12" s="53"/>
      <c r="E12" s="53"/>
      <c r="F12" s="53"/>
      <c r="G12" s="53"/>
      <c r="H12" s="53"/>
      <c r="I12" s="53"/>
      <c r="J12" s="53"/>
      <c r="K12" s="53"/>
      <c r="L12" s="53"/>
      <c r="M12" s="53"/>
      <c r="N12" s="53">
        <v>9</v>
      </c>
      <c r="O12" s="36">
        <f ca="1"/>
        <v>7.2645813018876737E-3</v>
      </c>
      <c r="P12" s="36">
        <f ca="1"/>
        <v>1.0955989758030161E-2</v>
      </c>
      <c r="Q12" s="36">
        <f t="shared" si="0"/>
        <v>0</v>
      </c>
      <c r="R12" s="37">
        <f t="shared" ca="1" si="1"/>
        <v>1.0955989758030161E-2</v>
      </c>
      <c r="S12" s="41">
        <f t="shared" ca="1" si="2"/>
        <v>1.8220571059917832E-2</v>
      </c>
      <c r="T12" s="110">
        <f t="shared" ca="1" si="3"/>
        <v>2.6488260899854454E-2</v>
      </c>
    </row>
    <row r="13" spans="1:24" x14ac:dyDescent="0.3">
      <c r="A13" s="53"/>
      <c r="B13" s="53"/>
      <c r="C13" s="53"/>
      <c r="D13" s="53"/>
      <c r="E13" s="53"/>
      <c r="F13" s="53"/>
      <c r="G13" s="53"/>
      <c r="H13" s="53"/>
      <c r="I13" s="53"/>
      <c r="J13" s="53"/>
      <c r="K13" s="53"/>
      <c r="L13" s="53"/>
      <c r="M13" s="53"/>
      <c r="N13" s="53">
        <v>10</v>
      </c>
      <c r="O13" s="36">
        <f ca="1"/>
        <v>7.8147374224597499E-3</v>
      </c>
      <c r="P13" s="36">
        <f ca="1"/>
        <v>1.1302214573583802E-2</v>
      </c>
      <c r="Q13" s="36">
        <f t="shared" si="0"/>
        <v>0</v>
      </c>
      <c r="R13" s="37">
        <f t="shared" ca="1" si="1"/>
        <v>1.1302214573583802E-2</v>
      </c>
      <c r="S13" s="41">
        <f t="shared" ca="1" si="2"/>
        <v>1.9116951996043553E-2</v>
      </c>
      <c r="T13" s="110">
        <f t="shared" ca="1" si="3"/>
        <v>2.7219974338121622E-2</v>
      </c>
    </row>
    <row r="14" spans="1:24" x14ac:dyDescent="0.3">
      <c r="A14" s="53"/>
      <c r="B14" s="53"/>
      <c r="C14" s="53"/>
      <c r="D14" s="53"/>
      <c r="E14" s="53"/>
      <c r="F14" s="53"/>
      <c r="G14" s="53"/>
      <c r="H14" s="53"/>
      <c r="I14" s="53"/>
      <c r="J14" s="53"/>
      <c r="K14" s="53"/>
      <c r="L14" s="53"/>
      <c r="M14" s="53"/>
      <c r="N14" s="53">
        <v>11</v>
      </c>
      <c r="O14" s="36">
        <f ca="1"/>
        <v>8.4995556160289976E-3</v>
      </c>
      <c r="P14" s="36">
        <f ca="1"/>
        <v>1.1650410991660688E-2</v>
      </c>
      <c r="Q14" s="36">
        <f t="shared" si="0"/>
        <v>0</v>
      </c>
      <c r="R14" s="37">
        <f t="shared" ca="1" si="1"/>
        <v>1.1650410991660688E-2</v>
      </c>
      <c r="S14" s="41">
        <f t="shared" ca="1" si="2"/>
        <v>2.0149966607689685E-2</v>
      </c>
      <c r="T14" s="110">
        <f t="shared" ca="1" si="3"/>
        <v>3.0537878806190744E-2</v>
      </c>
    </row>
    <row r="15" spans="1:24" ht="15" thickBot="1" x14ac:dyDescent="0.35">
      <c r="A15" s="53"/>
      <c r="B15" s="55" t="s">
        <v>21</v>
      </c>
      <c r="C15" s="53"/>
      <c r="D15" s="53"/>
      <c r="E15" s="53"/>
      <c r="F15" s="53"/>
      <c r="G15" s="53"/>
      <c r="H15" s="53"/>
      <c r="I15" s="53"/>
      <c r="J15" s="53"/>
      <c r="K15" s="53"/>
      <c r="L15" s="53"/>
      <c r="M15" s="53"/>
      <c r="N15" s="53">
        <v>12</v>
      </c>
      <c r="O15" s="36">
        <f ca="1"/>
        <v>9.1901077640226259E-3</v>
      </c>
      <c r="P15" s="36">
        <f ca="1"/>
        <v>1.201022940813643E-2</v>
      </c>
      <c r="Q15" s="36">
        <f t="shared" si="0"/>
        <v>0</v>
      </c>
      <c r="R15" s="37">
        <f t="shared" ca="1" si="1"/>
        <v>1.201022940813643E-2</v>
      </c>
      <c r="S15" s="41">
        <f t="shared" ca="1" si="2"/>
        <v>2.1200337172159057E-2</v>
      </c>
      <c r="T15" s="110">
        <f t="shared" ca="1" si="3"/>
        <v>3.2826037027971822E-2</v>
      </c>
    </row>
    <row r="16" spans="1:24" ht="15" thickBot="1" x14ac:dyDescent="0.35">
      <c r="A16" s="53"/>
      <c r="B16" s="91" t="s">
        <v>7</v>
      </c>
      <c r="C16" s="92" t="s">
        <v>12</v>
      </c>
      <c r="D16" s="95"/>
      <c r="E16" s="96" t="s">
        <v>9</v>
      </c>
      <c r="F16" s="59" t="s">
        <v>22</v>
      </c>
      <c r="G16" s="60">
        <v>1</v>
      </c>
      <c r="H16" s="81">
        <v>0</v>
      </c>
      <c r="I16" s="81">
        <v>0</v>
      </c>
      <c r="J16" s="81">
        <v>0</v>
      </c>
      <c r="K16" s="61">
        <f>SUM(G16:J16)</f>
        <v>1</v>
      </c>
      <c r="L16" s="53"/>
      <c r="M16" s="53"/>
      <c r="N16" s="53">
        <v>13</v>
      </c>
      <c r="O16" s="36">
        <f ca="1"/>
        <v>9.8870364705685443E-3</v>
      </c>
      <c r="P16" s="36">
        <f ca="1"/>
        <v>1.2382862829245434E-2</v>
      </c>
      <c r="Q16" s="36">
        <f t="shared" si="0"/>
        <v>0</v>
      </c>
      <c r="R16" s="37">
        <f t="shared" ca="1" si="1"/>
        <v>1.2382862829245434E-2</v>
      </c>
      <c r="S16" s="41">
        <f t="shared" ca="1" si="2"/>
        <v>2.2269899299813978E-2</v>
      </c>
      <c r="T16" s="110">
        <f t="shared" ca="1" si="3"/>
        <v>3.5192357975362576E-2</v>
      </c>
    </row>
    <row r="17" spans="1:20" x14ac:dyDescent="0.3">
      <c r="A17" s="53"/>
      <c r="B17" s="55">
        <v>0.5</v>
      </c>
      <c r="C17" s="129">
        <f>'Données d''entrée des courbes'!C18</f>
        <v>4.2599999999999999E-3</v>
      </c>
      <c r="D17" s="53"/>
      <c r="E17" s="92" t="s">
        <v>7</v>
      </c>
      <c r="F17" s="78" t="s">
        <v>23</v>
      </c>
      <c r="G17" s="94" t="s">
        <v>10</v>
      </c>
      <c r="H17" s="82" t="s">
        <v>1</v>
      </c>
      <c r="I17" s="82" t="s">
        <v>2</v>
      </c>
      <c r="J17" s="82" t="s">
        <v>3</v>
      </c>
      <c r="K17" s="53"/>
      <c r="L17" s="53"/>
      <c r="M17" s="53"/>
      <c r="N17" s="53">
        <v>14</v>
      </c>
      <c r="O17" s="36">
        <f ca="1"/>
        <v>1.0591018189858969E-2</v>
      </c>
      <c r="P17" s="36">
        <f ca="1"/>
        <v>1.2769697479015263E-2</v>
      </c>
      <c r="Q17" s="36">
        <f t="shared" si="0"/>
        <v>0</v>
      </c>
      <c r="R17" s="37">
        <f t="shared" ca="1" si="1"/>
        <v>1.2769697479015263E-2</v>
      </c>
      <c r="S17" s="41">
        <f t="shared" ca="1" si="2"/>
        <v>2.3360715668874231E-2</v>
      </c>
      <c r="T17" s="110">
        <f t="shared" ca="1" si="3"/>
        <v>3.7647702164407271E-2</v>
      </c>
    </row>
    <row r="18" spans="1:20" x14ac:dyDescent="0.3">
      <c r="A18" s="53"/>
      <c r="B18" s="55">
        <v>1</v>
      </c>
      <c r="C18" s="129">
        <f>'Données d''entrée des courbes'!C19</f>
        <v>4.2599999999999999E-3</v>
      </c>
      <c r="D18" s="53"/>
      <c r="E18" s="55">
        <v>1</v>
      </c>
      <c r="F18" s="58">
        <f t="shared" ref="F18:F30" si="4">SUMPRODUCT($G$16:$J$16,$G18:$J18)</f>
        <v>3.2500000000000003E-3</v>
      </c>
      <c r="G18" s="131">
        <f>'Données d''entrée des courbes'!F19</f>
        <v>3.2500000000000003E-3</v>
      </c>
      <c r="H18" s="130">
        <f>'Données d''entrée des courbes'!G19</f>
        <v>2.1970000000000003E-2</v>
      </c>
      <c r="I18" s="130">
        <f>'Données d''entrée des courbes'!H19</f>
        <v>0</v>
      </c>
      <c r="J18" s="130">
        <f>'Données d''entrée des courbes'!I19</f>
        <v>0</v>
      </c>
      <c r="K18" s="62"/>
      <c r="L18" s="53"/>
      <c r="M18" s="53"/>
      <c r="N18" s="53">
        <v>15</v>
      </c>
      <c r="O18" s="36">
        <f ca="1"/>
        <v>1.1302770569539655E-2</v>
      </c>
      <c r="P18" s="36">
        <f ca="1"/>
        <v>1.3172334245122541E-2</v>
      </c>
      <c r="Q18" s="36">
        <f t="shared" si="0"/>
        <v>0</v>
      </c>
      <c r="R18" s="37">
        <f t="shared" ca="1" si="1"/>
        <v>1.3172334245122541E-2</v>
      </c>
      <c r="S18" s="41">
        <f t="shared" ca="1" si="2"/>
        <v>2.4475104814662196E-2</v>
      </c>
      <c r="T18" s="110">
        <f t="shared" ca="1" si="3"/>
        <v>4.0204575120587505E-2</v>
      </c>
    </row>
    <row r="19" spans="1:20" x14ac:dyDescent="0.3">
      <c r="A19" s="53"/>
      <c r="B19" s="55">
        <v>2</v>
      </c>
      <c r="C19" s="129">
        <f>'Données d''entrée des courbes'!C20</f>
        <v>4.5599999999999998E-3</v>
      </c>
      <c r="D19" s="53"/>
      <c r="E19" s="55">
        <v>2</v>
      </c>
      <c r="F19" s="58">
        <f t="shared" si="4"/>
        <v>4.4299999999999999E-3</v>
      </c>
      <c r="G19" s="131">
        <f>'Données d''entrée des courbes'!F20</f>
        <v>4.4299999999999999E-3</v>
      </c>
      <c r="H19" s="130">
        <f>'Données d''entrée des courbes'!G20</f>
        <v>2.2435000000000004E-2</v>
      </c>
      <c r="I19" s="130">
        <f>'Données d''entrée des courbes'!H20</f>
        <v>0</v>
      </c>
      <c r="J19" s="130">
        <f>'Données d''entrée des courbes'!I20</f>
        <v>0</v>
      </c>
      <c r="K19" s="62"/>
      <c r="L19" s="53"/>
      <c r="M19" s="53"/>
      <c r="N19" s="53">
        <v>16</v>
      </c>
      <c r="O19" s="36">
        <f ca="1"/>
        <v>1.1718161119753878E-2</v>
      </c>
      <c r="P19" s="36">
        <f ca="1"/>
        <v>1.3277541899806278E-2</v>
      </c>
      <c r="Q19" s="36">
        <f t="shared" si="0"/>
        <v>0</v>
      </c>
      <c r="R19" s="37">
        <f t="shared" ca="1" si="1"/>
        <v>1.3277541899806278E-2</v>
      </c>
      <c r="S19" s="41">
        <f t="shared" ca="1" si="2"/>
        <v>2.4995703019560157E-2</v>
      </c>
      <c r="T19" s="110">
        <f t="shared" ca="1" si="3"/>
        <v>3.2836497218981853E-2</v>
      </c>
    </row>
    <row r="20" spans="1:20" x14ac:dyDescent="0.3">
      <c r="A20" s="53"/>
      <c r="B20" s="55">
        <v>3</v>
      </c>
      <c r="C20" s="129">
        <f>'Données d''entrée des courbes'!C21</f>
        <v>5.13E-3</v>
      </c>
      <c r="D20" s="53"/>
      <c r="E20" s="55">
        <v>3</v>
      </c>
      <c r="F20" s="58">
        <f t="shared" si="4"/>
        <v>5.6800000000000002E-3</v>
      </c>
      <c r="G20" s="131">
        <f>'Données d''entrée des courbes'!F21</f>
        <v>5.6800000000000002E-3</v>
      </c>
      <c r="H20" s="130">
        <f>'Données d''entrée des courbes'!G21</f>
        <v>2.274E-2</v>
      </c>
      <c r="I20" s="130">
        <f>'Données d''entrée des courbes'!H21</f>
        <v>0</v>
      </c>
      <c r="J20" s="130">
        <f>'Données d''entrée des courbes'!I21</f>
        <v>0</v>
      </c>
      <c r="K20" s="62"/>
      <c r="L20" s="53"/>
      <c r="M20" s="53"/>
      <c r="N20" s="53">
        <v>17</v>
      </c>
      <c r="O20" s="36">
        <f ca="1"/>
        <v>1.2137691484647606E-2</v>
      </c>
      <c r="P20" s="36">
        <f ca="1"/>
        <v>1.3390435938026869E-2</v>
      </c>
      <c r="Q20" s="36">
        <f t="shared" si="0"/>
        <v>0</v>
      </c>
      <c r="R20" s="37">
        <f t="shared" ca="1" si="1"/>
        <v>1.3390435938026869E-2</v>
      </c>
      <c r="S20" s="41">
        <f t="shared" ca="1" si="2"/>
        <v>2.5528127422674476E-2</v>
      </c>
      <c r="T20" s="110">
        <f t="shared" ca="1" si="3"/>
        <v>3.4084628286984886E-2</v>
      </c>
    </row>
    <row r="21" spans="1:20" x14ac:dyDescent="0.3">
      <c r="A21" s="53"/>
      <c r="B21" s="55">
        <v>4</v>
      </c>
      <c r="C21" s="129">
        <f>'Données d''entrée des courbes'!C22</f>
        <v>5.8299999999999992E-3</v>
      </c>
      <c r="D21" s="53"/>
      <c r="E21" s="55">
        <v>4</v>
      </c>
      <c r="F21" s="58">
        <f t="shared" si="4"/>
        <v>7.150000000000001E-3</v>
      </c>
      <c r="G21" s="131">
        <f>'Données d''entrée des courbes'!F22</f>
        <v>7.150000000000001E-3</v>
      </c>
      <c r="H21" s="130">
        <f>'Données d''entrée des courbes'!G22</f>
        <v>2.2875E-2</v>
      </c>
      <c r="I21" s="130">
        <f>'Données d''entrée des courbes'!H22</f>
        <v>0</v>
      </c>
      <c r="J21" s="130">
        <f>'Données d''entrée des courbes'!I22</f>
        <v>0</v>
      </c>
      <c r="K21" s="62"/>
      <c r="L21" s="53"/>
      <c r="M21" s="53"/>
      <c r="N21" s="53">
        <v>18</v>
      </c>
      <c r="O21" s="36">
        <f ca="1"/>
        <v>1.2561591749558954E-2</v>
      </c>
      <c r="P21" s="36">
        <f ca="1"/>
        <v>1.351104198302564E-2</v>
      </c>
      <c r="Q21" s="36">
        <f t="shared" si="0"/>
        <v>0</v>
      </c>
      <c r="R21" s="37">
        <f t="shared" ca="1" si="1"/>
        <v>1.351104198302564E-2</v>
      </c>
      <c r="S21" s="41">
        <f t="shared" ca="1" si="2"/>
        <v>2.6072633732584595E-2</v>
      </c>
      <c r="T21" s="110">
        <f t="shared" ca="1" si="3"/>
        <v>3.5373599843701697E-2</v>
      </c>
    </row>
    <row r="22" spans="1:20" x14ac:dyDescent="0.3">
      <c r="A22" s="53"/>
      <c r="B22" s="55">
        <v>5</v>
      </c>
      <c r="C22" s="129">
        <f>'Données d''entrée des courbes'!C23</f>
        <v>6.1399999999999996E-3</v>
      </c>
      <c r="D22" s="53"/>
      <c r="E22" s="55">
        <v>5</v>
      </c>
      <c r="F22" s="58">
        <f t="shared" si="4"/>
        <v>8.2799999999999992E-3</v>
      </c>
      <c r="G22" s="131">
        <f>'Données d''entrée des courbes'!F23</f>
        <v>8.2799999999999992E-3</v>
      </c>
      <c r="H22" s="130">
        <f>'Données d''entrée des courbes'!G23</f>
        <v>2.3229999999999997E-2</v>
      </c>
      <c r="I22" s="130">
        <f>'Données d''entrée des courbes'!H23</f>
        <v>0</v>
      </c>
      <c r="J22" s="130">
        <f>'Données d''entrée des courbes'!I23</f>
        <v>0</v>
      </c>
      <c r="K22" s="62"/>
      <c r="L22" s="53"/>
      <c r="M22" s="53"/>
      <c r="N22" s="53">
        <v>19</v>
      </c>
      <c r="O22" s="36">
        <f ca="1"/>
        <v>1.299011858282384E-2</v>
      </c>
      <c r="P22" s="36">
        <f ca="1"/>
        <v>1.3639515721994733E-2</v>
      </c>
      <c r="Q22" s="36">
        <f t="shared" si="0"/>
        <v>0</v>
      </c>
      <c r="R22" s="37">
        <f t="shared" ca="1" si="1"/>
        <v>1.3639515721994733E-2</v>
      </c>
      <c r="S22" s="41">
        <f t="shared" ca="1" si="2"/>
        <v>2.6629634304818572E-2</v>
      </c>
      <c r="T22" s="110">
        <f t="shared" ca="1" si="3"/>
        <v>3.6707508613838424E-2</v>
      </c>
    </row>
    <row r="23" spans="1:20" x14ac:dyDescent="0.3">
      <c r="A23" s="53"/>
      <c r="B23" s="55">
        <v>7</v>
      </c>
      <c r="C23" s="129">
        <f>'Données d''entrée des courbes'!C24</f>
        <v>6.6700000000000006E-3</v>
      </c>
      <c r="D23" s="53"/>
      <c r="E23" s="55">
        <v>7</v>
      </c>
      <c r="F23" s="58">
        <f t="shared" si="4"/>
        <v>1.0480000000000001E-2</v>
      </c>
      <c r="G23" s="131">
        <f>'Données d''entrée des courbes'!F24</f>
        <v>1.0480000000000001E-2</v>
      </c>
      <c r="H23" s="130">
        <f>'Données d''entrée des courbes'!G24</f>
        <v>2.4524999999999998E-2</v>
      </c>
      <c r="I23" s="130">
        <f>'Données d''entrée des courbes'!H24</f>
        <v>0</v>
      </c>
      <c r="J23" s="130">
        <f>'Données d''entrée des courbes'!I24</f>
        <v>0</v>
      </c>
      <c r="K23" s="62"/>
      <c r="L23" s="53"/>
      <c r="M23" s="53"/>
      <c r="N23" s="53">
        <v>20</v>
      </c>
      <c r="O23" s="36">
        <f ca="1"/>
        <v>1.3423554509838675E-2</v>
      </c>
      <c r="P23" s="36">
        <f ca="1"/>
        <v>1.3776128474978378E-2</v>
      </c>
      <c r="Q23" s="36">
        <f t="shared" si="0"/>
        <v>0</v>
      </c>
      <c r="R23" s="37">
        <f t="shared" ca="1" si="1"/>
        <v>1.3776128474978378E-2</v>
      </c>
      <c r="S23" s="41">
        <f t="shared" ca="1" si="2"/>
        <v>2.7199682984817054E-2</v>
      </c>
      <c r="T23" s="110">
        <f t="shared" ca="1" si="3"/>
        <v>3.8090948776744904E-2</v>
      </c>
    </row>
    <row r="24" spans="1:20" x14ac:dyDescent="0.3">
      <c r="A24" s="53"/>
      <c r="B24" s="55">
        <v>8</v>
      </c>
      <c r="C24" s="129">
        <f>'Données d''entrée des courbes'!C25</f>
        <v>6.7400000000000003E-3</v>
      </c>
      <c r="D24" s="53"/>
      <c r="E24" s="55">
        <v>8</v>
      </c>
      <c r="F24" s="58">
        <f t="shared" si="4"/>
        <v>1.1269999999999999E-2</v>
      </c>
      <c r="G24" s="131">
        <f>'Données d''entrée des courbes'!F25</f>
        <v>1.1269999999999999E-2</v>
      </c>
      <c r="H24" s="130">
        <f>'Données d''entrée des courbes'!G25</f>
        <v>2.5144999999999997E-2</v>
      </c>
      <c r="I24" s="130">
        <f>'Données d''entrée des courbes'!H25</f>
        <v>0</v>
      </c>
      <c r="J24" s="130">
        <f>'Données d''entrée des courbes'!I25</f>
        <v>0</v>
      </c>
      <c r="K24" s="62"/>
      <c r="L24" s="53"/>
      <c r="M24" s="53"/>
      <c r="N24" s="53">
        <v>21</v>
      </c>
      <c r="O24" s="36">
        <f ca="1"/>
        <v>1.3531368646791497E-2</v>
      </c>
      <c r="P24" s="36">
        <f ca="1"/>
        <v>1.3764483159076791E-2</v>
      </c>
      <c r="Q24" s="36">
        <f t="shared" si="0"/>
        <v>0</v>
      </c>
      <c r="R24" s="37">
        <f t="shared" ca="1" si="1"/>
        <v>1.3764483159076791E-2</v>
      </c>
      <c r="S24" s="41">
        <f t="shared" ca="1" si="2"/>
        <v>2.7295851805868288E-2</v>
      </c>
      <c r="T24" s="110">
        <f t="shared" ca="1" si="3"/>
        <v>2.9221120093645636E-2</v>
      </c>
    </row>
    <row r="25" spans="1:20" x14ac:dyDescent="0.3">
      <c r="A25" s="53"/>
      <c r="B25" s="55">
        <v>9</v>
      </c>
      <c r="C25" s="129">
        <f>'Données d''entrée des courbes'!C26</f>
        <v>7.2199999999999999E-3</v>
      </c>
      <c r="D25" s="53"/>
      <c r="E25" s="55">
        <v>9</v>
      </c>
      <c r="F25" s="58">
        <f t="shared" si="4"/>
        <v>1.1799999999999998E-2</v>
      </c>
      <c r="G25" s="131">
        <f>'Données d''entrée des courbes'!F26</f>
        <v>1.1799999999999998E-2</v>
      </c>
      <c r="H25" s="130">
        <f>'Données d''entrée des courbes'!G26</f>
        <v>2.5444999999999999E-2</v>
      </c>
      <c r="I25" s="130">
        <f>'Données d''entrée des courbes'!H26</f>
        <v>0</v>
      </c>
      <c r="J25" s="130">
        <f>'Données d''entrée des courbes'!I26</f>
        <v>0</v>
      </c>
      <c r="K25" s="62"/>
      <c r="L25" s="53"/>
      <c r="M25" s="53"/>
      <c r="N25" s="53">
        <v>22</v>
      </c>
      <c r="O25" s="36">
        <f ca="1"/>
        <v>1.3641218539176991E-2</v>
      </c>
      <c r="P25" s="36">
        <f ca="1"/>
        <v>1.3757314798202303E-2</v>
      </c>
      <c r="Q25" s="36">
        <f t="shared" si="0"/>
        <v>0</v>
      </c>
      <c r="R25" s="37">
        <f t="shared" ca="1" si="1"/>
        <v>1.3757314798202303E-2</v>
      </c>
      <c r="S25" s="41">
        <f t="shared" ca="1" si="2"/>
        <v>2.7398533337379294E-2</v>
      </c>
      <c r="T25" s="110">
        <f t="shared" ca="1" si="3"/>
        <v>2.955721791353616E-2</v>
      </c>
    </row>
    <row r="26" spans="1:20" x14ac:dyDescent="0.3">
      <c r="A26" s="53"/>
      <c r="B26" s="55">
        <v>10</v>
      </c>
      <c r="C26" s="129">
        <f>'Données d''entrée des courbes'!C27</f>
        <v>7.7499999999999999E-3</v>
      </c>
      <c r="D26" s="53"/>
      <c r="E26" s="55">
        <v>10</v>
      </c>
      <c r="F26" s="58">
        <f t="shared" si="4"/>
        <v>1.2129999999999998E-2</v>
      </c>
      <c r="G26" s="131">
        <f>'Données d''entrée des courbes'!F27</f>
        <v>1.2129999999999998E-2</v>
      </c>
      <c r="H26" s="130">
        <f>'Données d''entrée des courbes'!G27</f>
        <v>2.5590000000000002E-2</v>
      </c>
      <c r="I26" s="130">
        <f>'Données d''entrée des courbes'!H27</f>
        <v>0</v>
      </c>
      <c r="J26" s="130">
        <f>'Données d''entrée des courbes'!I27</f>
        <v>0</v>
      </c>
      <c r="K26" s="62"/>
      <c r="L26" s="53"/>
      <c r="M26" s="53"/>
      <c r="N26" s="53">
        <v>23</v>
      </c>
      <c r="O26" s="36">
        <f ca="1"/>
        <v>1.3752976685896812E-2</v>
      </c>
      <c r="P26" s="36">
        <f ca="1"/>
        <v>1.3754241294607871E-2</v>
      </c>
      <c r="Q26" s="36">
        <f t="shared" si="0"/>
        <v>0</v>
      </c>
      <c r="R26" s="37">
        <f t="shared" ca="1" si="1"/>
        <v>1.3754241294607871E-2</v>
      </c>
      <c r="S26" s="41">
        <f t="shared" ca="1" si="2"/>
        <v>2.7507217980504685E-2</v>
      </c>
      <c r="T26" s="110">
        <f t="shared" ca="1" si="3"/>
        <v>2.9901191111761927E-2</v>
      </c>
    </row>
    <row r="27" spans="1:20" x14ac:dyDescent="0.3">
      <c r="A27" s="53"/>
      <c r="B27" s="55">
        <v>15</v>
      </c>
      <c r="C27" s="129">
        <f>'Données d''entrée des courbes'!C28</f>
        <v>1.102E-2</v>
      </c>
      <c r="D27" s="53"/>
      <c r="E27" s="55">
        <v>15</v>
      </c>
      <c r="F27" s="58">
        <f t="shared" si="4"/>
        <v>1.3689999999999999E-2</v>
      </c>
      <c r="G27" s="131">
        <f>'Données d''entrée des courbes'!F28</f>
        <v>1.3689999999999999E-2</v>
      </c>
      <c r="H27" s="130">
        <f>'Données d''entrée des courbes'!G28</f>
        <v>2.6125000000000002E-2</v>
      </c>
      <c r="I27" s="130">
        <f>'Données d''entrée des courbes'!H28</f>
        <v>0</v>
      </c>
      <c r="J27" s="130">
        <f>'Données d''entrée des courbes'!I28</f>
        <v>0</v>
      </c>
      <c r="K27" s="62"/>
      <c r="L27" s="53"/>
      <c r="M27" s="53"/>
      <c r="N27" s="53">
        <v>24</v>
      </c>
      <c r="O27" s="36">
        <f ca="1"/>
        <v>1.386654275115129E-2</v>
      </c>
      <c r="P27" s="36">
        <f ca="1"/>
        <v>1.3754956113134643E-2</v>
      </c>
      <c r="Q27" s="36">
        <f t="shared" si="0"/>
        <v>0</v>
      </c>
      <c r="R27" s="37">
        <f t="shared" ca="1" si="1"/>
        <v>1.3754956113134643E-2</v>
      </c>
      <c r="S27" s="41">
        <f t="shared" ca="1" si="2"/>
        <v>2.7621498864285932E-2</v>
      </c>
      <c r="T27" s="110">
        <f t="shared" ca="1" si="3"/>
        <v>3.0253470149502748E-2</v>
      </c>
    </row>
    <row r="28" spans="1:20" x14ac:dyDescent="0.3">
      <c r="A28" s="53"/>
      <c r="B28" s="55">
        <v>20</v>
      </c>
      <c r="C28" s="129">
        <f>'Données d''entrée des courbes'!C29</f>
        <v>1.294E-2</v>
      </c>
      <c r="D28" s="53"/>
      <c r="E28" s="55">
        <v>20</v>
      </c>
      <c r="F28" s="58">
        <f t="shared" si="4"/>
        <v>1.4089999999999998E-2</v>
      </c>
      <c r="G28" s="131">
        <f>'Données d''entrée des courbes'!F29</f>
        <v>1.4089999999999998E-2</v>
      </c>
      <c r="H28" s="130">
        <f>'Données d''entrée des courbes'!G29</f>
        <v>2.64E-2</v>
      </c>
      <c r="I28" s="130">
        <f>'Données d''entrée des courbes'!H29</f>
        <v>0</v>
      </c>
      <c r="J28" s="130">
        <f>'Données d''entrée des courbes'!I29</f>
        <v>0</v>
      </c>
      <c r="K28" s="62"/>
      <c r="L28" s="53"/>
      <c r="M28" s="53"/>
      <c r="N28" s="53">
        <v>25</v>
      </c>
      <c r="O28" s="36">
        <f ca="1"/>
        <v>1.3981838406994296E-2</v>
      </c>
      <c r="P28" s="36">
        <f ca="1"/>
        <v>1.3759214058034907E-2</v>
      </c>
      <c r="Q28" s="36">
        <f t="shared" si="0"/>
        <v>0</v>
      </c>
      <c r="R28" s="37">
        <f t="shared" ca="1" si="1"/>
        <v>1.3759214058034907E-2</v>
      </c>
      <c r="S28" s="41">
        <f t="shared" ca="1" si="2"/>
        <v>2.7741052465029205E-2</v>
      </c>
      <c r="T28" s="110">
        <f t="shared" ca="1" si="3"/>
        <v>3.0614515270824594E-2</v>
      </c>
    </row>
    <row r="29" spans="1:20" x14ac:dyDescent="0.3">
      <c r="A29" s="53"/>
      <c r="B29" s="55">
        <v>25</v>
      </c>
      <c r="C29" s="129">
        <f>'Données d''entrée des courbes'!C30</f>
        <v>1.3480000000000001E-2</v>
      </c>
      <c r="D29" s="53"/>
      <c r="E29" s="55">
        <v>25</v>
      </c>
      <c r="F29" s="58">
        <f t="shared" si="4"/>
        <v>1.4130000000000002E-2</v>
      </c>
      <c r="G29" s="131">
        <f>'Données d''entrée des courbes'!F30</f>
        <v>1.4130000000000002E-2</v>
      </c>
      <c r="H29" s="130">
        <f>'Données d''entrée des courbes'!G30</f>
        <v>2.6734999999999995E-2</v>
      </c>
      <c r="I29" s="130">
        <f>'Données d''entrée des courbes'!H30</f>
        <v>0</v>
      </c>
      <c r="J29" s="130">
        <f>'Données d''entrée des courbes'!I30</f>
        <v>0</v>
      </c>
      <c r="K29" s="62"/>
      <c r="L29" s="53"/>
      <c r="M29" s="53"/>
      <c r="N29" s="53">
        <v>26</v>
      </c>
      <c r="O29" s="36">
        <f ca="1"/>
        <v>1.3926994380078161E-2</v>
      </c>
      <c r="P29" s="36">
        <f ca="1"/>
        <v>1.3754862181083904E-2</v>
      </c>
      <c r="Q29" s="36">
        <f t="shared" si="0"/>
        <v>0</v>
      </c>
      <c r="R29" s="37">
        <f t="shared" ca="1" si="1"/>
        <v>1.3754862181083904E-2</v>
      </c>
      <c r="S29" s="41">
        <f t="shared" ca="1" si="2"/>
        <v>2.7681856561162066E-2</v>
      </c>
      <c r="T29" s="110">
        <f t="shared" ca="1" si="3"/>
        <v>2.6203066564296718E-2</v>
      </c>
    </row>
    <row r="30" spans="1:20" x14ac:dyDescent="0.3">
      <c r="A30" s="53"/>
      <c r="B30" s="55">
        <v>30</v>
      </c>
      <c r="C30" s="129">
        <f>'Données d''entrée des courbes'!C31</f>
        <v>1.333E-2</v>
      </c>
      <c r="D30" s="53"/>
      <c r="E30" s="55">
        <v>30</v>
      </c>
      <c r="F30" s="58">
        <f t="shared" si="4"/>
        <v>1.427E-2</v>
      </c>
      <c r="G30" s="131">
        <f>'Données d''entrée des courbes'!F31</f>
        <v>1.427E-2</v>
      </c>
      <c r="H30" s="130">
        <f>'Données d''entrée des courbes'!G31</f>
        <v>2.7145000000000002E-2</v>
      </c>
      <c r="I30" s="130">
        <f>'Données d''entrée des courbes'!H31</f>
        <v>0</v>
      </c>
      <c r="J30" s="130">
        <f>'Données d''entrée des courbes'!I31</f>
        <v>0</v>
      </c>
      <c r="K30" s="62"/>
      <c r="L30" s="53"/>
      <c r="M30" s="53"/>
      <c r="N30" s="53">
        <v>27</v>
      </c>
      <c r="O30" s="36">
        <f ca="1"/>
        <v>1.3873527472835878E-2</v>
      </c>
      <c r="P30" s="36">
        <f ca="1"/>
        <v>1.3753041770444075E-2</v>
      </c>
      <c r="Q30" s="36">
        <f t="shared" si="0"/>
        <v>0</v>
      </c>
      <c r="R30" s="37">
        <f t="shared" ca="1" si="1"/>
        <v>1.3753041770444075E-2</v>
      </c>
      <c r="S30" s="41">
        <f t="shared" ca="1" si="2"/>
        <v>2.7626569243279955E-2</v>
      </c>
      <c r="T30" s="110">
        <f t="shared" ca="1" si="3"/>
        <v>2.6190142507982905E-2</v>
      </c>
    </row>
    <row r="31" spans="1:20" x14ac:dyDescent="0.3">
      <c r="A31" s="53"/>
      <c r="B31" s="53"/>
      <c r="C31" s="53"/>
      <c r="D31" s="53"/>
      <c r="E31" s="53"/>
      <c r="F31" s="53"/>
      <c r="G31" s="53"/>
      <c r="H31" s="53"/>
      <c r="I31" s="53"/>
      <c r="J31" s="53"/>
      <c r="K31" s="53"/>
      <c r="L31" s="53"/>
      <c r="M31" s="53"/>
      <c r="N31" s="53">
        <v>28</v>
      </c>
      <c r="O31" s="36">
        <f ca="1"/>
        <v>1.3821273873644069E-2</v>
      </c>
      <c r="P31" s="36">
        <f ca="1"/>
        <v>1.3753492177261517E-2</v>
      </c>
      <c r="Q31" s="36">
        <f t="shared" si="0"/>
        <v>0</v>
      </c>
      <c r="R31" s="37">
        <f t="shared" ca="1" si="1"/>
        <v>1.3753492177261517E-2</v>
      </c>
      <c r="S31" s="41">
        <f t="shared" ca="1" si="2"/>
        <v>2.7574766050905586E-2</v>
      </c>
      <c r="T31" s="110">
        <f t="shared" ca="1" si="3"/>
        <v>2.6177066544696315E-2</v>
      </c>
    </row>
    <row r="32" spans="1:20" x14ac:dyDescent="0.3">
      <c r="A32" s="53"/>
      <c r="B32" s="53"/>
      <c r="C32" s="53"/>
      <c r="D32" s="53"/>
      <c r="E32" s="53"/>
      <c r="F32" s="53"/>
      <c r="G32" s="53"/>
      <c r="H32" s="53"/>
      <c r="I32" s="53"/>
      <c r="J32" s="53"/>
      <c r="K32" s="53"/>
      <c r="L32" s="53"/>
      <c r="M32" s="53"/>
      <c r="N32" s="53">
        <v>29</v>
      </c>
      <c r="O32" s="36">
        <f ca="1"/>
        <v>1.3770092406137246E-2</v>
      </c>
      <c r="P32" s="36">
        <f ca="1"/>
        <v>1.3755988603115955E-2</v>
      </c>
      <c r="Q32" s="36">
        <f t="shared" si="0"/>
        <v>0</v>
      </c>
      <c r="R32" s="37">
        <f t="shared" ca="1" si="1"/>
        <v>1.3755988603115955E-2</v>
      </c>
      <c r="S32" s="41">
        <f t="shared" ca="1" si="2"/>
        <v>2.7526081009253203E-2</v>
      </c>
      <c r="T32" s="110">
        <f t="shared" ca="1" si="3"/>
        <v>2.616383593497229E-2</v>
      </c>
    </row>
    <row r="33" spans="1:20" x14ac:dyDescent="0.3">
      <c r="A33" s="53"/>
      <c r="B33" s="53"/>
      <c r="C33" s="53"/>
      <c r="D33" s="53"/>
      <c r="E33" s="53"/>
      <c r="F33" s="53"/>
      <c r="G33" s="53"/>
      <c r="H33" s="53"/>
      <c r="I33" s="53"/>
      <c r="J33" s="53"/>
      <c r="K33" s="53"/>
      <c r="L33" s="53"/>
      <c r="M33" s="53"/>
      <c r="N33" s="53">
        <v>30</v>
      </c>
      <c r="O33" s="36">
        <f ca="1"/>
        <v>1.3719860761480129E-2</v>
      </c>
      <c r="P33" s="36">
        <f ca="1"/>
        <v>1.376033611246248E-2</v>
      </c>
      <c r="Q33" s="36">
        <f t="shared" si="0"/>
        <v>0</v>
      </c>
      <c r="R33" s="37">
        <f t="shared" ca="1" si="1"/>
        <v>1.376033611246248E-2</v>
      </c>
      <c r="S33" s="41">
        <f t="shared" ca="1" si="2"/>
        <v>2.7480196873942611E-2</v>
      </c>
      <c r="T33" s="110">
        <f t="shared" ca="1" si="3"/>
        <v>2.6150447873645177E-2</v>
      </c>
    </row>
    <row r="34" spans="1:20" x14ac:dyDescent="0.3">
      <c r="A34" s="53"/>
      <c r="B34" s="53"/>
      <c r="C34" s="53"/>
      <c r="D34" s="53"/>
      <c r="E34" s="53"/>
      <c r="F34" s="53"/>
      <c r="G34" s="53"/>
      <c r="H34" s="53"/>
      <c r="I34" s="53"/>
      <c r="J34" s="53"/>
      <c r="K34" s="53"/>
      <c r="L34" s="53"/>
      <c r="M34" s="53"/>
      <c r="N34" s="53">
        <v>31</v>
      </c>
      <c r="O34" s="58">
        <f t="shared" ref="O34:O65" ca="1" si="5">IF(N34&gt;=ult_rate_year_Liq,ult_rate_Liq,(ult_rate_Liq-$O$33)/(ult_rate_year_Liq-obs_period_Liq)+O33)</f>
        <v>1.4376864242443126E-2</v>
      </c>
      <c r="P34" s="53"/>
      <c r="Q34" s="53"/>
      <c r="R34" s="58">
        <f t="shared" ref="R34:R65" ca="1" si="6">IF(N34&gt;=ult_rate_year_Liq,liq_prem_ult_Liq,(liq_prem_ult_Liq-$R$33)/(ult_rate_year_Liq-obs_period_Liq)+R33)</f>
        <v>1.3591327709650918E-2</v>
      </c>
      <c r="S34" s="41">
        <f t="shared" ca="1" si="2"/>
        <v>2.7968191952094046E-2</v>
      </c>
      <c r="T34" s="110">
        <f t="shared" ref="T34:T97" ca="1" si="7">((1+S34)^N34)/((1+S33)^N33)-1</f>
        <v>4.2716313845468923E-2</v>
      </c>
    </row>
    <row r="35" spans="1:20" x14ac:dyDescent="0.3">
      <c r="A35" s="53"/>
      <c r="B35" s="53"/>
      <c r="C35" s="53"/>
      <c r="D35" s="53"/>
      <c r="E35" s="53"/>
      <c r="F35" s="53"/>
      <c r="G35" s="53"/>
      <c r="H35" s="53"/>
      <c r="I35" s="53"/>
      <c r="J35" s="53"/>
      <c r="K35" s="53"/>
      <c r="L35" s="53"/>
      <c r="M35" s="53"/>
      <c r="N35" s="53">
        <v>32</v>
      </c>
      <c r="O35" s="58">
        <f t="shared" ca="1" si="5"/>
        <v>1.5033867723406123E-2</v>
      </c>
      <c r="P35" s="53"/>
      <c r="Q35" s="53"/>
      <c r="R35" s="58">
        <f t="shared" ca="1" si="6"/>
        <v>1.3422319306839356E-2</v>
      </c>
      <c r="S35" s="41">
        <f t="shared" ca="1" si="2"/>
        <v>2.8456187030245481E-2</v>
      </c>
      <c r="T35" s="110">
        <f t="shared" ca="1" si="7"/>
        <v>4.3699485203483546E-2</v>
      </c>
    </row>
    <row r="36" spans="1:20" x14ac:dyDescent="0.3">
      <c r="A36" s="53"/>
      <c r="B36" s="53"/>
      <c r="C36" s="53"/>
      <c r="D36" s="53"/>
      <c r="E36" s="53"/>
      <c r="F36" s="53"/>
      <c r="G36" s="53"/>
      <c r="H36" s="53"/>
      <c r="I36" s="53"/>
      <c r="J36" s="53"/>
      <c r="K36" s="53"/>
      <c r="L36" s="53"/>
      <c r="M36" s="53"/>
      <c r="N36" s="53">
        <v>33</v>
      </c>
      <c r="O36" s="58">
        <f t="shared" ca="1" si="5"/>
        <v>1.5690871204369121E-2</v>
      </c>
      <c r="P36" s="53"/>
      <c r="Q36" s="53"/>
      <c r="R36" s="58">
        <f t="shared" ca="1" si="6"/>
        <v>1.3253310904027794E-2</v>
      </c>
      <c r="S36" s="41">
        <f t="shared" ca="1" si="2"/>
        <v>2.8944182108396915E-2</v>
      </c>
      <c r="T36" s="110">
        <f t="shared" ca="1" si="7"/>
        <v>4.4682884678349355E-2</v>
      </c>
    </row>
    <row r="37" spans="1:20" x14ac:dyDescent="0.3">
      <c r="A37" s="53"/>
      <c r="B37" s="53"/>
      <c r="C37" s="53"/>
      <c r="D37" s="53"/>
      <c r="E37" s="53"/>
      <c r="F37" s="53"/>
      <c r="G37" s="53"/>
      <c r="H37" s="53"/>
      <c r="I37" s="53"/>
      <c r="J37" s="53"/>
      <c r="K37" s="53"/>
      <c r="L37" s="53"/>
      <c r="M37" s="53"/>
      <c r="N37" s="53">
        <v>34</v>
      </c>
      <c r="O37" s="58">
        <f t="shared" ca="1" si="5"/>
        <v>1.6347874685332119E-2</v>
      </c>
      <c r="P37" s="53"/>
      <c r="Q37" s="53"/>
      <c r="R37" s="58">
        <f t="shared" ca="1" si="6"/>
        <v>1.3084302501216232E-2</v>
      </c>
      <c r="S37" s="41">
        <f t="shared" ca="1" si="2"/>
        <v>2.943217718654835E-2</v>
      </c>
      <c r="T37" s="110">
        <f t="shared" ca="1" si="7"/>
        <v>4.5666512052070507E-2</v>
      </c>
    </row>
    <row r="38" spans="1:20" x14ac:dyDescent="0.3">
      <c r="A38" s="53"/>
      <c r="B38" s="53"/>
      <c r="C38" s="53"/>
      <c r="D38" s="53"/>
      <c r="E38" s="53"/>
      <c r="F38" s="53"/>
      <c r="G38" s="53"/>
      <c r="H38" s="53"/>
      <c r="I38" s="53"/>
      <c r="J38" s="53"/>
      <c r="K38" s="53"/>
      <c r="L38" s="53"/>
      <c r="M38" s="53"/>
      <c r="N38" s="53">
        <v>35</v>
      </c>
      <c r="O38" s="58">
        <f t="shared" ca="1" si="5"/>
        <v>1.7004878166295118E-2</v>
      </c>
      <c r="P38" s="53"/>
      <c r="Q38" s="53"/>
      <c r="R38" s="58">
        <f t="shared" ca="1" si="6"/>
        <v>1.2915294098404671E-2</v>
      </c>
      <c r="S38" s="41">
        <f t="shared" ca="1" si="2"/>
        <v>2.9920172264699788E-2</v>
      </c>
      <c r="T38" s="110">
        <f t="shared" ca="1" si="7"/>
        <v>4.6650367106876534E-2</v>
      </c>
    </row>
    <row r="39" spans="1:20" x14ac:dyDescent="0.3">
      <c r="A39" s="53"/>
      <c r="B39" s="53"/>
      <c r="C39" s="53"/>
      <c r="D39" s="53"/>
      <c r="E39" s="53"/>
      <c r="F39" s="53"/>
      <c r="G39" s="53"/>
      <c r="H39" s="53"/>
      <c r="I39" s="53"/>
      <c r="J39" s="53"/>
      <c r="K39" s="53"/>
      <c r="L39" s="53"/>
      <c r="M39" s="53"/>
      <c r="N39" s="53">
        <v>36</v>
      </c>
      <c r="O39" s="58">
        <f t="shared" ca="1" si="5"/>
        <v>1.7661881647258116E-2</v>
      </c>
      <c r="P39" s="53"/>
      <c r="Q39" s="53"/>
      <c r="R39" s="58">
        <f t="shared" ca="1" si="6"/>
        <v>1.2746285695593109E-2</v>
      </c>
      <c r="S39" s="41">
        <f t="shared" ca="1" si="2"/>
        <v>3.0408167342851226E-2</v>
      </c>
      <c r="T39" s="110">
        <f t="shared" ca="1" si="7"/>
        <v>4.7634449625270747E-2</v>
      </c>
    </row>
    <row r="40" spans="1:20" x14ac:dyDescent="0.3">
      <c r="A40" s="53"/>
      <c r="B40" s="53"/>
      <c r="C40" s="53"/>
      <c r="D40" s="53"/>
      <c r="E40" s="53"/>
      <c r="F40" s="53"/>
      <c r="G40" s="53"/>
      <c r="H40" s="53"/>
      <c r="I40" s="53"/>
      <c r="J40" s="53"/>
      <c r="K40" s="53"/>
      <c r="L40" s="53"/>
      <c r="M40" s="53"/>
      <c r="N40" s="53">
        <v>37</v>
      </c>
      <c r="O40" s="58">
        <f t="shared" ca="1" si="5"/>
        <v>1.8318885128221114E-2</v>
      </c>
      <c r="P40" s="53"/>
      <c r="Q40" s="53"/>
      <c r="R40" s="58">
        <f t="shared" ca="1" si="6"/>
        <v>1.2577277292781547E-2</v>
      </c>
      <c r="S40" s="41">
        <f t="shared" ca="1" si="2"/>
        <v>3.0896162421002661E-2</v>
      </c>
      <c r="T40" s="110">
        <f t="shared" ca="1" si="7"/>
        <v>4.8618759390028687E-2</v>
      </c>
    </row>
    <row r="41" spans="1:20" x14ac:dyDescent="0.3">
      <c r="A41" s="53"/>
      <c r="B41" s="53"/>
      <c r="C41" s="53"/>
      <c r="D41" s="53"/>
      <c r="E41" s="53"/>
      <c r="F41" s="53"/>
      <c r="G41" s="53"/>
      <c r="H41" s="53"/>
      <c r="I41" s="53"/>
      <c r="J41" s="53"/>
      <c r="K41" s="53"/>
      <c r="L41" s="53"/>
      <c r="M41" s="53"/>
      <c r="N41" s="53">
        <v>38</v>
      </c>
      <c r="O41" s="58">
        <f t="shared" ca="1" si="5"/>
        <v>1.8975888609184113E-2</v>
      </c>
      <c r="P41" s="53"/>
      <c r="Q41" s="53"/>
      <c r="R41" s="58">
        <f t="shared" ca="1" si="6"/>
        <v>1.2408268889969985E-2</v>
      </c>
      <c r="S41" s="41">
        <f t="shared" ca="1" si="2"/>
        <v>3.1384157499154096E-2</v>
      </c>
      <c r="T41" s="110">
        <f t="shared" ca="1" si="7"/>
        <v>4.9603296184149936E-2</v>
      </c>
    </row>
    <row r="42" spans="1:20" x14ac:dyDescent="0.3">
      <c r="A42" s="53"/>
      <c r="B42" s="53"/>
      <c r="C42" s="53"/>
      <c r="D42" s="53"/>
      <c r="E42" s="53"/>
      <c r="F42" s="53"/>
      <c r="G42" s="53"/>
      <c r="H42" s="53"/>
      <c r="I42" s="53"/>
      <c r="J42" s="53"/>
      <c r="K42" s="53"/>
      <c r="L42" s="53"/>
      <c r="M42" s="53"/>
      <c r="N42" s="53">
        <v>39</v>
      </c>
      <c r="O42" s="58">
        <f t="shared" ca="1" si="5"/>
        <v>1.9632892090147111E-2</v>
      </c>
      <c r="P42" s="53"/>
      <c r="Q42" s="53"/>
      <c r="R42" s="58">
        <f t="shared" ca="1" si="6"/>
        <v>1.2239260487158423E-2</v>
      </c>
      <c r="S42" s="41">
        <f t="shared" ca="1" si="2"/>
        <v>3.1872152577305538E-2</v>
      </c>
      <c r="T42" s="110">
        <f t="shared" ca="1" si="7"/>
        <v>5.0588059790957596E-2</v>
      </c>
    </row>
    <row r="43" spans="1:20" x14ac:dyDescent="0.3">
      <c r="A43" s="53"/>
      <c r="B43" s="53"/>
      <c r="C43" s="53"/>
      <c r="D43" s="53"/>
      <c r="E43" s="53"/>
      <c r="F43" s="53"/>
      <c r="G43" s="53"/>
      <c r="H43" s="53"/>
      <c r="I43" s="53"/>
      <c r="J43" s="53"/>
      <c r="K43" s="53"/>
      <c r="L43" s="53"/>
      <c r="M43" s="53"/>
      <c r="N43" s="53">
        <v>40</v>
      </c>
      <c r="O43" s="58">
        <f t="shared" ca="1" si="5"/>
        <v>2.0289895571110109E-2</v>
      </c>
      <c r="P43" s="53"/>
      <c r="Q43" s="53"/>
      <c r="R43" s="58">
        <f t="shared" ca="1" si="6"/>
        <v>1.2070252084346861E-2</v>
      </c>
      <c r="S43" s="41">
        <f t="shared" ca="1" si="2"/>
        <v>3.2360147655456972E-2</v>
      </c>
      <c r="T43" s="110">
        <f t="shared" ca="1" si="7"/>
        <v>5.1573049993939746E-2</v>
      </c>
    </row>
    <row r="44" spans="1:20" x14ac:dyDescent="0.3">
      <c r="A44" s="53"/>
      <c r="B44" s="53"/>
      <c r="C44" s="53"/>
      <c r="D44" s="53"/>
      <c r="E44" s="53"/>
      <c r="F44" s="53"/>
      <c r="G44" s="53"/>
      <c r="H44" s="53"/>
      <c r="I44" s="53"/>
      <c r="J44" s="53"/>
      <c r="K44" s="53"/>
      <c r="L44" s="53"/>
      <c r="M44" s="53"/>
      <c r="N44" s="53">
        <v>41</v>
      </c>
      <c r="O44" s="58">
        <f t="shared" ca="1" si="5"/>
        <v>2.0946899052073108E-2</v>
      </c>
      <c r="P44" s="53"/>
      <c r="Q44" s="53"/>
      <c r="R44" s="58">
        <f t="shared" ca="1" si="6"/>
        <v>1.1901243681535299E-2</v>
      </c>
      <c r="S44" s="41">
        <f t="shared" ca="1" si="2"/>
        <v>3.2848142733608407E-2</v>
      </c>
      <c r="T44" s="110">
        <f t="shared" ca="1" si="7"/>
        <v>5.2558266576959278E-2</v>
      </c>
    </row>
    <row r="45" spans="1:20" x14ac:dyDescent="0.3">
      <c r="A45" s="53"/>
      <c r="B45" s="53"/>
      <c r="C45" s="53"/>
      <c r="D45" s="53"/>
      <c r="E45" s="53"/>
      <c r="F45" s="53"/>
      <c r="G45" s="53"/>
      <c r="H45" s="53"/>
      <c r="I45" s="53"/>
      <c r="J45" s="53"/>
      <c r="K45" s="53"/>
      <c r="L45" s="53"/>
      <c r="M45" s="53"/>
      <c r="N45" s="53">
        <v>42</v>
      </c>
      <c r="O45" s="58">
        <f t="shared" ca="1" si="5"/>
        <v>2.1603902533036106E-2</v>
      </c>
      <c r="P45" s="53"/>
      <c r="Q45" s="53"/>
      <c r="R45" s="58">
        <f t="shared" ca="1" si="6"/>
        <v>1.1732235278723737E-2</v>
      </c>
      <c r="S45" s="41">
        <f t="shared" ca="1" si="2"/>
        <v>3.3336137811759842E-2</v>
      </c>
      <c r="T45" s="110">
        <f t="shared" ca="1" si="7"/>
        <v>5.3543709324020528E-2</v>
      </c>
    </row>
    <row r="46" spans="1:20" x14ac:dyDescent="0.3">
      <c r="A46" s="53"/>
      <c r="B46" s="53"/>
      <c r="C46" s="53"/>
      <c r="D46" s="53"/>
      <c r="E46" s="53"/>
      <c r="F46" s="53"/>
      <c r="G46" s="53"/>
      <c r="H46" s="53"/>
      <c r="I46" s="53"/>
      <c r="J46" s="53"/>
      <c r="K46" s="53"/>
      <c r="L46" s="53"/>
      <c r="M46" s="53"/>
      <c r="N46" s="53">
        <v>43</v>
      </c>
      <c r="O46" s="58">
        <f t="shared" ca="1" si="5"/>
        <v>2.2260906013999104E-2</v>
      </c>
      <c r="P46" s="53"/>
      <c r="Q46" s="53"/>
      <c r="R46" s="58">
        <f t="shared" ca="1" si="6"/>
        <v>1.1563226875912175E-2</v>
      </c>
      <c r="S46" s="41">
        <f t="shared" ca="1" si="2"/>
        <v>3.3824132889911276E-2</v>
      </c>
      <c r="T46" s="110">
        <f t="shared" ca="1" si="7"/>
        <v>5.4529378019485542E-2</v>
      </c>
    </row>
    <row r="47" spans="1:20" x14ac:dyDescent="0.3">
      <c r="A47" s="53"/>
      <c r="B47" s="53"/>
      <c r="C47" s="53"/>
      <c r="D47" s="53"/>
      <c r="E47" s="53"/>
      <c r="F47" s="53"/>
      <c r="G47" s="53"/>
      <c r="H47" s="53"/>
      <c r="I47" s="53"/>
      <c r="J47" s="53"/>
      <c r="K47" s="53"/>
      <c r="L47" s="53"/>
      <c r="M47" s="53"/>
      <c r="N47" s="53">
        <v>44</v>
      </c>
      <c r="O47" s="58">
        <f t="shared" ca="1" si="5"/>
        <v>2.2917909494962103E-2</v>
      </c>
      <c r="P47" s="53"/>
      <c r="Q47" s="53"/>
      <c r="R47" s="58">
        <f t="shared" ca="1" si="6"/>
        <v>1.1394218473100614E-2</v>
      </c>
      <c r="S47" s="41">
        <f t="shared" ca="1" si="2"/>
        <v>3.4312127968062718E-2</v>
      </c>
      <c r="T47" s="110">
        <f t="shared" ca="1" si="7"/>
        <v>5.5515272447907105E-2</v>
      </c>
    </row>
    <row r="48" spans="1:20" x14ac:dyDescent="0.3">
      <c r="A48" s="53"/>
      <c r="B48" s="53"/>
      <c r="C48" s="53"/>
      <c r="D48" s="53"/>
      <c r="E48" s="53"/>
      <c r="F48" s="53"/>
      <c r="G48" s="53"/>
      <c r="H48" s="53"/>
      <c r="I48" s="53"/>
      <c r="J48" s="53"/>
      <c r="K48" s="53"/>
      <c r="L48" s="53"/>
      <c r="M48" s="53"/>
      <c r="N48" s="53">
        <v>45</v>
      </c>
      <c r="O48" s="58">
        <f t="shared" ca="1" si="5"/>
        <v>2.3574912975925101E-2</v>
      </c>
      <c r="P48" s="53"/>
      <c r="Q48" s="53"/>
      <c r="R48" s="58">
        <f t="shared" ca="1" si="6"/>
        <v>1.1225210070289052E-2</v>
      </c>
      <c r="S48" s="41">
        <f t="shared" ca="1" si="2"/>
        <v>3.4800123046214153E-2</v>
      </c>
      <c r="T48" s="110">
        <f t="shared" ca="1" si="7"/>
        <v>5.6501392394121774E-2</v>
      </c>
    </row>
    <row r="49" spans="1:20" x14ac:dyDescent="0.3">
      <c r="A49" s="53"/>
      <c r="B49" s="53"/>
      <c r="C49" s="53"/>
      <c r="D49" s="53"/>
      <c r="E49" s="53"/>
      <c r="F49" s="53"/>
      <c r="G49" s="53"/>
      <c r="H49" s="53"/>
      <c r="I49" s="53"/>
      <c r="J49" s="53"/>
      <c r="K49" s="53"/>
      <c r="L49" s="53"/>
      <c r="M49" s="53"/>
      <c r="N49" s="53">
        <v>46</v>
      </c>
      <c r="O49" s="58">
        <f t="shared" ca="1" si="5"/>
        <v>2.4231916456888099E-2</v>
      </c>
      <c r="P49" s="53"/>
      <c r="Q49" s="53"/>
      <c r="R49" s="58">
        <f t="shared" ca="1" si="6"/>
        <v>1.105620166747749E-2</v>
      </c>
      <c r="S49" s="41">
        <f t="shared" ca="1" si="2"/>
        <v>3.5288118124365588E-2</v>
      </c>
      <c r="T49" s="110">
        <f t="shared" ca="1" si="7"/>
        <v>5.7487737643251435E-2</v>
      </c>
    </row>
    <row r="50" spans="1:20" x14ac:dyDescent="0.3">
      <c r="A50" s="53"/>
      <c r="B50" s="53"/>
      <c r="C50" s="53"/>
      <c r="D50" s="53"/>
      <c r="E50" s="53"/>
      <c r="F50" s="53"/>
      <c r="G50" s="53"/>
      <c r="H50" s="53"/>
      <c r="I50" s="53"/>
      <c r="J50" s="53"/>
      <c r="K50" s="53"/>
      <c r="L50" s="53"/>
      <c r="M50" s="53"/>
      <c r="N50" s="53">
        <v>47</v>
      </c>
      <c r="O50" s="58">
        <f t="shared" ca="1" si="5"/>
        <v>2.4888919937851098E-2</v>
      </c>
      <c r="P50" s="53"/>
      <c r="Q50" s="53"/>
      <c r="R50" s="58">
        <f t="shared" ca="1" si="6"/>
        <v>1.0887193264665928E-2</v>
      </c>
      <c r="S50" s="41">
        <f t="shared" ca="1" si="2"/>
        <v>3.5776113202517029E-2</v>
      </c>
      <c r="T50" s="110">
        <f t="shared" ca="1" si="7"/>
        <v>5.8474307980589169E-2</v>
      </c>
    </row>
    <row r="51" spans="1:20" x14ac:dyDescent="0.3">
      <c r="A51" s="53"/>
      <c r="B51" s="53"/>
      <c r="C51" s="53"/>
      <c r="D51" s="53"/>
      <c r="E51" s="53"/>
      <c r="F51" s="53"/>
      <c r="G51" s="53"/>
      <c r="H51" s="53"/>
      <c r="I51" s="53"/>
      <c r="J51" s="53"/>
      <c r="K51" s="53"/>
      <c r="L51" s="53"/>
      <c r="M51" s="53"/>
      <c r="N51" s="53">
        <v>48</v>
      </c>
      <c r="O51" s="58">
        <f t="shared" ca="1" si="5"/>
        <v>2.5545923418814096E-2</v>
      </c>
      <c r="P51" s="53"/>
      <c r="Q51" s="53"/>
      <c r="R51" s="58">
        <f t="shared" ca="1" si="6"/>
        <v>1.0718184861854366E-2</v>
      </c>
      <c r="S51" s="41">
        <f t="shared" ca="1" si="2"/>
        <v>3.6264108280668464E-2</v>
      </c>
      <c r="T51" s="110">
        <f t="shared" ca="1" si="7"/>
        <v>5.946110319179998E-2</v>
      </c>
    </row>
    <row r="52" spans="1:20" x14ac:dyDescent="0.3">
      <c r="A52" s="53"/>
      <c r="B52" s="53"/>
      <c r="C52" s="53"/>
      <c r="D52" s="53"/>
      <c r="E52" s="53"/>
      <c r="F52" s="53"/>
      <c r="G52" s="53"/>
      <c r="H52" s="53"/>
      <c r="I52" s="53"/>
      <c r="J52" s="53"/>
      <c r="K52" s="53"/>
      <c r="L52" s="53"/>
      <c r="M52" s="53"/>
      <c r="N52" s="53">
        <v>49</v>
      </c>
      <c r="O52" s="58">
        <f t="shared" ca="1" si="5"/>
        <v>2.6202926899777094E-2</v>
      </c>
      <c r="P52" s="53"/>
      <c r="Q52" s="53"/>
      <c r="R52" s="58">
        <f t="shared" ca="1" si="6"/>
        <v>1.0549176459042804E-2</v>
      </c>
      <c r="S52" s="41">
        <f t="shared" ca="1" si="2"/>
        <v>3.6752103358819899E-2</v>
      </c>
      <c r="T52" s="110">
        <f t="shared" ca="1" si="7"/>
        <v>6.0448123062699421E-2</v>
      </c>
    </row>
    <row r="53" spans="1:20" x14ac:dyDescent="0.3">
      <c r="A53" s="53"/>
      <c r="B53" s="53"/>
      <c r="C53" s="53"/>
      <c r="D53" s="53"/>
      <c r="E53" s="53"/>
      <c r="F53" s="53"/>
      <c r="G53" s="53"/>
      <c r="H53" s="53"/>
      <c r="I53" s="53"/>
      <c r="J53" s="53"/>
      <c r="K53" s="53"/>
      <c r="L53" s="53"/>
      <c r="M53" s="53"/>
      <c r="N53" s="53">
        <v>50</v>
      </c>
      <c r="O53" s="58">
        <f t="shared" ca="1" si="5"/>
        <v>2.6859930380740093E-2</v>
      </c>
      <c r="P53" s="53"/>
      <c r="Q53" s="53"/>
      <c r="R53" s="58">
        <f t="shared" ca="1" si="6"/>
        <v>1.0380168056231242E-2</v>
      </c>
      <c r="S53" s="41">
        <f t="shared" ca="1" si="2"/>
        <v>3.7240098436971333E-2</v>
      </c>
      <c r="T53" s="110">
        <f t="shared" ca="1" si="7"/>
        <v>6.1435367379441885E-2</v>
      </c>
    </row>
    <row r="54" spans="1:20" x14ac:dyDescent="0.3">
      <c r="A54" s="53"/>
      <c r="B54" s="53"/>
      <c r="C54" s="53"/>
      <c r="D54" s="53"/>
      <c r="E54" s="53"/>
      <c r="F54" s="53"/>
      <c r="G54" s="53"/>
      <c r="H54" s="53"/>
      <c r="I54" s="53"/>
      <c r="J54" s="53"/>
      <c r="K54" s="53"/>
      <c r="L54" s="53"/>
      <c r="M54" s="53"/>
      <c r="N54" s="53">
        <v>51</v>
      </c>
      <c r="O54" s="58">
        <f t="shared" ca="1" si="5"/>
        <v>2.7516933861703091E-2</v>
      </c>
      <c r="P54" s="53"/>
      <c r="Q54" s="53"/>
      <c r="R54" s="58">
        <f t="shared" ca="1" si="6"/>
        <v>1.021115965341968E-2</v>
      </c>
      <c r="S54" s="41">
        <f t="shared" ca="1" si="2"/>
        <v>3.7728093515122768E-2</v>
      </c>
      <c r="T54" s="110">
        <f t="shared" ca="1" si="7"/>
        <v>6.2422835928358955E-2</v>
      </c>
    </row>
    <row r="55" spans="1:20" x14ac:dyDescent="0.3">
      <c r="A55" s="53"/>
      <c r="B55" s="53"/>
      <c r="C55" s="53"/>
      <c r="D55" s="53"/>
      <c r="E55" s="53"/>
      <c r="F55" s="53"/>
      <c r="G55" s="53"/>
      <c r="H55" s="53"/>
      <c r="I55" s="53"/>
      <c r="J55" s="53"/>
      <c r="K55" s="53"/>
      <c r="L55" s="53"/>
      <c r="M55" s="53"/>
      <c r="N55" s="53">
        <v>52</v>
      </c>
      <c r="O55" s="58">
        <f t="shared" ca="1" si="5"/>
        <v>2.817393734266609E-2</v>
      </c>
      <c r="P55" s="53"/>
      <c r="Q55" s="53"/>
      <c r="R55" s="58">
        <f t="shared" ca="1" si="6"/>
        <v>1.0042151250608118E-2</v>
      </c>
      <c r="S55" s="41">
        <f t="shared" ca="1" si="2"/>
        <v>3.821608859327421E-2</v>
      </c>
      <c r="T55" s="110">
        <f t="shared" ca="1" si="7"/>
        <v>6.3410528496135932E-2</v>
      </c>
    </row>
    <row r="56" spans="1:20" x14ac:dyDescent="0.3">
      <c r="A56" s="53"/>
      <c r="B56" s="53"/>
      <c r="C56" s="53"/>
      <c r="D56" s="53"/>
      <c r="E56" s="53"/>
      <c r="F56" s="53"/>
      <c r="G56" s="53"/>
      <c r="H56" s="53"/>
      <c r="I56" s="53"/>
      <c r="J56" s="53"/>
      <c r="K56" s="53"/>
      <c r="L56" s="53"/>
      <c r="M56" s="53"/>
      <c r="N56" s="53">
        <v>53</v>
      </c>
      <c r="O56" s="58">
        <f t="shared" ca="1" si="5"/>
        <v>2.8830940823629088E-2</v>
      </c>
      <c r="P56" s="53"/>
      <c r="Q56" s="53"/>
      <c r="R56" s="58">
        <f t="shared" ca="1" si="6"/>
        <v>9.8731428477965566E-3</v>
      </c>
      <c r="S56" s="41">
        <f t="shared" ca="1" si="2"/>
        <v>3.8704083671425644E-2</v>
      </c>
      <c r="T56" s="110">
        <f t="shared" ca="1" si="7"/>
        <v>6.4398444869591565E-2</v>
      </c>
    </row>
    <row r="57" spans="1:20" x14ac:dyDescent="0.3">
      <c r="A57" s="53"/>
      <c r="B57" s="53"/>
      <c r="C57" s="53"/>
      <c r="D57" s="53"/>
      <c r="E57" s="53"/>
      <c r="F57" s="53"/>
      <c r="G57" s="53"/>
      <c r="H57" s="53"/>
      <c r="I57" s="53"/>
      <c r="J57" s="53"/>
      <c r="K57" s="53"/>
      <c r="L57" s="53"/>
      <c r="M57" s="53"/>
      <c r="N57" s="53">
        <v>54</v>
      </c>
      <c r="O57" s="58">
        <f t="shared" ca="1" si="5"/>
        <v>2.9487944304592086E-2</v>
      </c>
      <c r="P57" s="53"/>
      <c r="Q57" s="53"/>
      <c r="R57" s="58">
        <f t="shared" ca="1" si="6"/>
        <v>9.7041344449849947E-3</v>
      </c>
      <c r="S57" s="41">
        <f t="shared" ca="1" si="2"/>
        <v>3.9192078749577079E-2</v>
      </c>
      <c r="T57" s="110">
        <f t="shared" ca="1" si="7"/>
        <v>6.5386584835920525E-2</v>
      </c>
    </row>
    <row r="58" spans="1:20" x14ac:dyDescent="0.3">
      <c r="A58" s="53"/>
      <c r="B58" s="53"/>
      <c r="C58" s="53"/>
      <c r="D58" s="53"/>
      <c r="E58" s="53"/>
      <c r="F58" s="53"/>
      <c r="G58" s="53"/>
      <c r="H58" s="53"/>
      <c r="I58" s="53"/>
      <c r="J58" s="53"/>
      <c r="K58" s="53"/>
      <c r="L58" s="53"/>
      <c r="M58" s="53"/>
      <c r="N58" s="53">
        <v>55</v>
      </c>
      <c r="O58" s="58">
        <f t="shared" ca="1" si="5"/>
        <v>3.0144947785555085E-2</v>
      </c>
      <c r="P58" s="53"/>
      <c r="Q58" s="53"/>
      <c r="R58" s="58">
        <f t="shared" ca="1" si="6"/>
        <v>9.5351260421734328E-3</v>
      </c>
      <c r="S58" s="41">
        <f t="shared" ca="1" si="2"/>
        <v>3.9680073827728521E-2</v>
      </c>
      <c r="T58" s="110">
        <f t="shared" ca="1" si="7"/>
        <v>6.6374948182494897E-2</v>
      </c>
    </row>
    <row r="59" spans="1:20" x14ac:dyDescent="0.3">
      <c r="A59" s="53"/>
      <c r="B59" s="53"/>
      <c r="C59" s="53"/>
      <c r="D59" s="53"/>
      <c r="E59" s="53"/>
      <c r="F59" s="53"/>
      <c r="G59" s="53"/>
      <c r="H59" s="53"/>
      <c r="I59" s="53"/>
      <c r="J59" s="53"/>
      <c r="K59" s="53"/>
      <c r="L59" s="53"/>
      <c r="M59" s="53"/>
      <c r="N59" s="53">
        <v>56</v>
      </c>
      <c r="O59" s="58">
        <f t="shared" ca="1" si="5"/>
        <v>3.0801951266518083E-2</v>
      </c>
      <c r="P59" s="53"/>
      <c r="Q59" s="53"/>
      <c r="R59" s="58">
        <f t="shared" ca="1" si="6"/>
        <v>9.3661176393618709E-3</v>
      </c>
      <c r="S59" s="41">
        <f t="shared" ca="1" si="2"/>
        <v>4.0168068905879956E-2</v>
      </c>
      <c r="T59" s="110">
        <f t="shared" ca="1" si="7"/>
        <v>6.7363534696937677E-2</v>
      </c>
    </row>
    <row r="60" spans="1:20" x14ac:dyDescent="0.3">
      <c r="A60" s="53"/>
      <c r="B60" s="53"/>
      <c r="C60" s="53"/>
      <c r="D60" s="53"/>
      <c r="E60" s="53"/>
      <c r="F60" s="53"/>
      <c r="G60" s="53"/>
      <c r="H60" s="53"/>
      <c r="I60" s="53"/>
      <c r="J60" s="53"/>
      <c r="K60" s="53"/>
      <c r="L60" s="53"/>
      <c r="M60" s="53"/>
      <c r="N60" s="53">
        <v>57</v>
      </c>
      <c r="O60" s="58">
        <f t="shared" ca="1" si="5"/>
        <v>3.1458954747481081E-2</v>
      </c>
      <c r="P60" s="53"/>
      <c r="Q60" s="53"/>
      <c r="R60" s="58">
        <f t="shared" ca="1" si="6"/>
        <v>9.197109236550309E-3</v>
      </c>
      <c r="S60" s="41">
        <f t="shared" ca="1" si="2"/>
        <v>4.065606398403139E-2</v>
      </c>
      <c r="T60" s="110">
        <f t="shared" ca="1" si="7"/>
        <v>6.8352344167194712E-2</v>
      </c>
    </row>
    <row r="61" spans="1:20" x14ac:dyDescent="0.3">
      <c r="A61" s="53"/>
      <c r="B61" s="53"/>
      <c r="C61" s="53"/>
      <c r="D61" s="53"/>
      <c r="E61" s="53"/>
      <c r="F61" s="53"/>
      <c r="G61" s="53"/>
      <c r="H61" s="53"/>
      <c r="I61" s="53"/>
      <c r="J61" s="53"/>
      <c r="K61" s="53"/>
      <c r="L61" s="53"/>
      <c r="M61" s="53"/>
      <c r="N61" s="53">
        <v>58</v>
      </c>
      <c r="O61" s="58">
        <f t="shared" ca="1" si="5"/>
        <v>3.2115958228444076E-2</v>
      </c>
      <c r="P61" s="53"/>
      <c r="Q61" s="53"/>
      <c r="R61" s="58">
        <f t="shared" ca="1" si="6"/>
        <v>9.0281008337387472E-3</v>
      </c>
      <c r="S61" s="41">
        <f t="shared" ca="1" si="2"/>
        <v>4.1144059062182825E-2</v>
      </c>
      <c r="T61" s="110">
        <f t="shared" ca="1" si="7"/>
        <v>6.9341376381364173E-2</v>
      </c>
    </row>
    <row r="62" spans="1:20" x14ac:dyDescent="0.3">
      <c r="A62" s="53"/>
      <c r="B62" s="53"/>
      <c r="C62" s="53"/>
      <c r="D62" s="53"/>
      <c r="E62" s="53"/>
      <c r="F62" s="53"/>
      <c r="G62" s="53"/>
      <c r="H62" s="53"/>
      <c r="I62" s="53"/>
      <c r="J62" s="53"/>
      <c r="K62" s="53"/>
      <c r="L62" s="53"/>
      <c r="M62" s="53"/>
      <c r="N62" s="53">
        <v>59</v>
      </c>
      <c r="O62" s="58">
        <f t="shared" ca="1" si="5"/>
        <v>3.2772961709407071E-2</v>
      </c>
      <c r="P62" s="53"/>
      <c r="Q62" s="53"/>
      <c r="R62" s="58">
        <f t="shared" ca="1" si="6"/>
        <v>8.8590924309271853E-3</v>
      </c>
      <c r="S62" s="41">
        <f t="shared" ca="1" si="2"/>
        <v>4.163205414033426E-2</v>
      </c>
      <c r="T62" s="110">
        <f t="shared" ca="1" si="7"/>
        <v>7.0330631127915266E-2</v>
      </c>
    </row>
    <row r="63" spans="1:20" x14ac:dyDescent="0.3">
      <c r="A63" s="53"/>
      <c r="B63" s="53"/>
      <c r="C63" s="53"/>
      <c r="D63" s="53"/>
      <c r="E63" s="53"/>
      <c r="F63" s="53"/>
      <c r="G63" s="53"/>
      <c r="H63" s="53"/>
      <c r="I63" s="53"/>
      <c r="J63" s="53"/>
      <c r="K63" s="53"/>
      <c r="L63" s="53"/>
      <c r="M63" s="53"/>
      <c r="N63" s="53">
        <v>60</v>
      </c>
      <c r="O63" s="58">
        <f t="shared" ca="1" si="5"/>
        <v>3.3429965190370066E-2</v>
      </c>
      <c r="P63" s="53"/>
      <c r="Q63" s="53"/>
      <c r="R63" s="58">
        <f t="shared" ca="1" si="6"/>
        <v>8.6900840281156234E-3</v>
      </c>
      <c r="S63" s="41">
        <f t="shared" ca="1" si="2"/>
        <v>4.2120049218485688E-2</v>
      </c>
      <c r="T63" s="110">
        <f t="shared" ca="1" si="7"/>
        <v>7.1320108195439103E-2</v>
      </c>
    </row>
    <row r="64" spans="1:20" x14ac:dyDescent="0.3">
      <c r="A64" s="53"/>
      <c r="B64" s="53"/>
      <c r="C64" s="53"/>
      <c r="D64" s="53"/>
      <c r="E64" s="53"/>
      <c r="F64" s="53"/>
      <c r="G64" s="53"/>
      <c r="H64" s="53"/>
      <c r="I64" s="53"/>
      <c r="J64" s="53"/>
      <c r="K64" s="53"/>
      <c r="L64" s="53"/>
      <c r="M64" s="53"/>
      <c r="N64" s="53">
        <v>61</v>
      </c>
      <c r="O64" s="58">
        <f t="shared" ca="1" si="5"/>
        <v>3.4086968671333061E-2</v>
      </c>
      <c r="P64" s="53"/>
      <c r="Q64" s="53"/>
      <c r="R64" s="58">
        <f t="shared" ca="1" si="6"/>
        <v>8.5210756253040615E-3</v>
      </c>
      <c r="S64" s="41">
        <f t="shared" ca="1" si="2"/>
        <v>4.2608044296637122E-2</v>
      </c>
      <c r="T64" s="110">
        <f t="shared" ca="1" si="7"/>
        <v>7.2309807372913149E-2</v>
      </c>
    </row>
    <row r="65" spans="1:20" x14ac:dyDescent="0.3">
      <c r="A65" s="53"/>
      <c r="B65" s="53"/>
      <c r="C65" s="53"/>
      <c r="D65" s="53"/>
      <c r="E65" s="53"/>
      <c r="F65" s="53"/>
      <c r="G65" s="53"/>
      <c r="H65" s="53"/>
      <c r="I65" s="53"/>
      <c r="J65" s="53"/>
      <c r="K65" s="53"/>
      <c r="L65" s="53"/>
      <c r="M65" s="53"/>
      <c r="N65" s="53">
        <v>62</v>
      </c>
      <c r="O65" s="58">
        <f t="shared" ca="1" si="5"/>
        <v>3.4743972152296056E-2</v>
      </c>
      <c r="P65" s="53"/>
      <c r="Q65" s="53"/>
      <c r="R65" s="58">
        <f t="shared" ca="1" si="6"/>
        <v>8.3520672224924996E-3</v>
      </c>
      <c r="S65" s="41">
        <f t="shared" ca="1" si="2"/>
        <v>4.3096039374788557E-2</v>
      </c>
      <c r="T65" s="110">
        <f t="shared" ca="1" si="7"/>
        <v>7.3299728449433887E-2</v>
      </c>
    </row>
    <row r="66" spans="1:20" x14ac:dyDescent="0.3">
      <c r="A66" s="53"/>
      <c r="B66" s="53"/>
      <c r="C66" s="53"/>
      <c r="D66" s="53"/>
      <c r="E66" s="53"/>
      <c r="F66" s="53"/>
      <c r="G66" s="53"/>
      <c r="H66" s="53"/>
      <c r="I66" s="53"/>
      <c r="J66" s="53"/>
      <c r="K66" s="53"/>
      <c r="L66" s="53"/>
      <c r="M66" s="53"/>
      <c r="N66" s="53">
        <v>63</v>
      </c>
      <c r="O66" s="58">
        <f t="shared" ref="O66:O97" ca="1" si="8">IF(N66&gt;=ult_rate_year_Liq,ult_rate_Liq,(ult_rate_Liq-$O$33)/(ult_rate_year_Liq-obs_period_Liq)+O65)</f>
        <v>3.5400975633259051E-2</v>
      </c>
      <c r="P66" s="53"/>
      <c r="Q66" s="53"/>
      <c r="R66" s="58">
        <f t="shared" ref="R66:R97" ca="1" si="9">IF(N66&gt;=ult_rate_year_Liq,liq_prem_ult_Liq,(liq_prem_ult_Liq-$R$33)/(ult_rate_year_Liq-obs_period_Liq)+R65)</f>
        <v>8.1830588196809377E-3</v>
      </c>
      <c r="S66" s="41">
        <f t="shared" ca="1" si="2"/>
        <v>4.3584034452939985E-2</v>
      </c>
      <c r="T66" s="110">
        <f t="shared" ca="1" si="7"/>
        <v>7.4289871214469505E-2</v>
      </c>
    </row>
    <row r="67" spans="1:20" x14ac:dyDescent="0.3">
      <c r="A67" s="53"/>
      <c r="B67" s="53"/>
      <c r="C67" s="53"/>
      <c r="D67" s="53"/>
      <c r="E67" s="53"/>
      <c r="F67" s="53"/>
      <c r="G67" s="53"/>
      <c r="H67" s="53"/>
      <c r="I67" s="53"/>
      <c r="J67" s="53"/>
      <c r="K67" s="53"/>
      <c r="L67" s="53"/>
      <c r="M67" s="53"/>
      <c r="N67" s="53">
        <v>64</v>
      </c>
      <c r="O67" s="58">
        <f t="shared" ca="1" si="8"/>
        <v>3.6057979114222045E-2</v>
      </c>
      <c r="P67" s="53"/>
      <c r="Q67" s="53"/>
      <c r="R67" s="58">
        <f t="shared" ca="1" si="9"/>
        <v>8.0140504168693758E-3</v>
      </c>
      <c r="S67" s="41">
        <f t="shared" ca="1" si="2"/>
        <v>4.407202953109142E-2</v>
      </c>
      <c r="T67" s="110">
        <f t="shared" ca="1" si="7"/>
        <v>7.5280235457669598E-2</v>
      </c>
    </row>
    <row r="68" spans="1:20" x14ac:dyDescent="0.3">
      <c r="A68" s="53"/>
      <c r="B68" s="53"/>
      <c r="C68" s="53"/>
      <c r="D68" s="53"/>
      <c r="E68" s="53"/>
      <c r="F68" s="53"/>
      <c r="G68" s="53"/>
      <c r="H68" s="53"/>
      <c r="I68" s="53"/>
      <c r="J68" s="53"/>
      <c r="K68" s="53"/>
      <c r="L68" s="53"/>
      <c r="M68" s="53"/>
      <c r="N68" s="53">
        <v>65</v>
      </c>
      <c r="O68" s="58">
        <f t="shared" ca="1" si="8"/>
        <v>3.671498259518504E-2</v>
      </c>
      <c r="P68" s="53"/>
      <c r="Q68" s="53"/>
      <c r="R68" s="58">
        <f t="shared" ca="1" si="9"/>
        <v>7.8450420140578139E-3</v>
      </c>
      <c r="S68" s="41">
        <f t="shared" ca="1" si="2"/>
        <v>4.4560024609242854E-2</v>
      </c>
      <c r="T68" s="110">
        <f t="shared" ca="1" si="7"/>
        <v>7.6270820968914244E-2</v>
      </c>
    </row>
    <row r="69" spans="1:20" x14ac:dyDescent="0.3">
      <c r="A69" s="53"/>
      <c r="B69" s="53"/>
      <c r="C69" s="53"/>
      <c r="D69" s="53"/>
      <c r="E69" s="53"/>
      <c r="F69" s="53"/>
      <c r="G69" s="53"/>
      <c r="H69" s="53"/>
      <c r="I69" s="53"/>
      <c r="J69" s="53"/>
      <c r="K69" s="53"/>
      <c r="L69" s="53"/>
      <c r="M69" s="53"/>
      <c r="N69" s="53">
        <v>66</v>
      </c>
      <c r="O69" s="58">
        <f t="shared" ca="1" si="8"/>
        <v>3.7371986076148035E-2</v>
      </c>
      <c r="P69" s="53"/>
      <c r="Q69" s="53"/>
      <c r="R69" s="58">
        <f t="shared" ca="1" si="9"/>
        <v>7.676033611246252E-3</v>
      </c>
      <c r="S69" s="41">
        <f t="shared" ref="S69:S103" ca="1" si="10">O69+R69</f>
        <v>4.5048019687394289E-2</v>
      </c>
      <c r="T69" s="110">
        <f t="shared" ca="1" si="7"/>
        <v>7.7261627538438127E-2</v>
      </c>
    </row>
    <row r="70" spans="1:20" x14ac:dyDescent="0.3">
      <c r="A70" s="53"/>
      <c r="B70" s="53"/>
      <c r="C70" s="53"/>
      <c r="D70" s="53"/>
      <c r="E70" s="53"/>
      <c r="F70" s="53"/>
      <c r="G70" s="53"/>
      <c r="H70" s="53"/>
      <c r="I70" s="53"/>
      <c r="J70" s="53"/>
      <c r="K70" s="53"/>
      <c r="L70" s="53"/>
      <c r="M70" s="53"/>
      <c r="N70" s="53">
        <v>67</v>
      </c>
      <c r="O70" s="58">
        <f t="shared" ca="1" si="8"/>
        <v>3.802898955711103E-2</v>
      </c>
      <c r="P70" s="53"/>
      <c r="Q70" s="53"/>
      <c r="R70" s="58">
        <f t="shared" ca="1" si="9"/>
        <v>7.5070252084346901E-3</v>
      </c>
      <c r="S70" s="41">
        <f t="shared" ca="1" si="10"/>
        <v>4.5536014765545724E-2</v>
      </c>
      <c r="T70" s="110">
        <f t="shared" ca="1" si="7"/>
        <v>7.8252654956588286E-2</v>
      </c>
    </row>
    <row r="71" spans="1:20" x14ac:dyDescent="0.3">
      <c r="A71" s="53"/>
      <c r="B71" s="53"/>
      <c r="C71" s="53"/>
      <c r="D71" s="53"/>
      <c r="E71" s="53"/>
      <c r="F71" s="53"/>
      <c r="G71" s="53"/>
      <c r="H71" s="53"/>
      <c r="I71" s="53"/>
      <c r="J71" s="53"/>
      <c r="K71" s="53"/>
      <c r="L71" s="53"/>
      <c r="M71" s="53"/>
      <c r="N71" s="53">
        <v>68</v>
      </c>
      <c r="O71" s="58">
        <f t="shared" ca="1" si="8"/>
        <v>3.8685993038074025E-2</v>
      </c>
      <c r="P71" s="53"/>
      <c r="Q71" s="53"/>
      <c r="R71" s="58">
        <f t="shared" ca="1" si="9"/>
        <v>7.3380168056231283E-3</v>
      </c>
      <c r="S71" s="41">
        <f t="shared" ca="1" si="10"/>
        <v>4.6024009843697151E-2</v>
      </c>
      <c r="T71" s="110">
        <f t="shared" ca="1" si="7"/>
        <v>7.9243903014084571E-2</v>
      </c>
    </row>
    <row r="72" spans="1:20" x14ac:dyDescent="0.3">
      <c r="A72" s="53"/>
      <c r="B72" s="53"/>
      <c r="C72" s="53"/>
      <c r="D72" s="53"/>
      <c r="E72" s="53"/>
      <c r="F72" s="53"/>
      <c r="G72" s="53"/>
      <c r="H72" s="53"/>
      <c r="I72" s="53"/>
      <c r="J72" s="53"/>
      <c r="K72" s="53"/>
      <c r="L72" s="53"/>
      <c r="M72" s="53"/>
      <c r="N72" s="53">
        <v>69</v>
      </c>
      <c r="O72" s="58">
        <f t="shared" ca="1" si="8"/>
        <v>3.934299651903702E-2</v>
      </c>
      <c r="P72" s="53"/>
      <c r="Q72" s="53"/>
      <c r="R72" s="58">
        <f t="shared" ca="1" si="9"/>
        <v>7.1690084028115664E-3</v>
      </c>
      <c r="S72" s="41">
        <f t="shared" ca="1" si="10"/>
        <v>4.6512004921848586E-2</v>
      </c>
      <c r="T72" s="110">
        <f t="shared" ca="1" si="7"/>
        <v>8.0235371501785169E-2</v>
      </c>
    </row>
    <row r="73" spans="1:20" x14ac:dyDescent="0.3">
      <c r="A73" s="53"/>
      <c r="B73" s="53"/>
      <c r="C73" s="53"/>
      <c r="D73" s="53"/>
      <c r="E73" s="53"/>
      <c r="F73" s="53"/>
      <c r="G73" s="53"/>
      <c r="H73" s="53"/>
      <c r="I73" s="53"/>
      <c r="J73" s="53"/>
      <c r="K73" s="53"/>
      <c r="L73" s="53"/>
      <c r="M73" s="53"/>
      <c r="N73" s="53">
        <v>70</v>
      </c>
      <c r="O73" s="58">
        <f t="shared" si="8"/>
        <v>0.04</v>
      </c>
      <c r="P73" s="53"/>
      <c r="Q73" s="53"/>
      <c r="R73" s="58">
        <f t="shared" si="9"/>
        <v>7.0000000000000001E-3</v>
      </c>
      <c r="S73" s="41">
        <f t="shared" si="10"/>
        <v>4.7E-2</v>
      </c>
      <c r="T73" s="110">
        <f t="shared" ca="1" si="7"/>
        <v>8.122706021091286E-2</v>
      </c>
    </row>
    <row r="74" spans="1:20" x14ac:dyDescent="0.3">
      <c r="A74" s="53"/>
      <c r="B74" s="53"/>
      <c r="C74" s="53"/>
      <c r="D74" s="53"/>
      <c r="E74" s="53"/>
      <c r="F74" s="53"/>
      <c r="G74" s="53"/>
      <c r="H74" s="53"/>
      <c r="I74" s="53"/>
      <c r="J74" s="53"/>
      <c r="K74" s="53"/>
      <c r="L74" s="53"/>
      <c r="M74" s="53"/>
      <c r="N74" s="53">
        <v>71</v>
      </c>
      <c r="O74" s="58">
        <f t="shared" si="8"/>
        <v>0.04</v>
      </c>
      <c r="P74" s="53"/>
      <c r="Q74" s="53"/>
      <c r="R74" s="58">
        <f t="shared" si="9"/>
        <v>7.0000000000000001E-3</v>
      </c>
      <c r="S74" s="41">
        <f t="shared" si="10"/>
        <v>4.7E-2</v>
      </c>
      <c r="T74" s="110">
        <f t="shared" si="7"/>
        <v>4.6999999999999931E-2</v>
      </c>
    </row>
    <row r="75" spans="1:20" x14ac:dyDescent="0.3">
      <c r="A75" s="53"/>
      <c r="B75" s="53"/>
      <c r="C75" s="53"/>
      <c r="D75" s="53"/>
      <c r="E75" s="53"/>
      <c r="F75" s="53"/>
      <c r="G75" s="53"/>
      <c r="H75" s="53"/>
      <c r="I75" s="53"/>
      <c r="J75" s="53"/>
      <c r="K75" s="53"/>
      <c r="L75" s="53"/>
      <c r="M75" s="53"/>
      <c r="N75" s="53">
        <v>72</v>
      </c>
      <c r="O75" s="58">
        <f t="shared" si="8"/>
        <v>0.04</v>
      </c>
      <c r="P75" s="53"/>
      <c r="Q75" s="53"/>
      <c r="R75" s="58">
        <f t="shared" si="9"/>
        <v>7.0000000000000001E-3</v>
      </c>
      <c r="S75" s="41">
        <f t="shared" si="10"/>
        <v>4.7E-2</v>
      </c>
      <c r="T75" s="110">
        <f t="shared" si="7"/>
        <v>4.6999999999999931E-2</v>
      </c>
    </row>
    <row r="76" spans="1:20" x14ac:dyDescent="0.3">
      <c r="A76" s="53"/>
      <c r="B76" s="53"/>
      <c r="C76" s="53"/>
      <c r="D76" s="53"/>
      <c r="E76" s="53"/>
      <c r="F76" s="53"/>
      <c r="G76" s="53"/>
      <c r="H76" s="53"/>
      <c r="I76" s="53"/>
      <c r="J76" s="53"/>
      <c r="K76" s="53"/>
      <c r="L76" s="53"/>
      <c r="M76" s="53"/>
      <c r="N76" s="53">
        <v>73</v>
      </c>
      <c r="O76" s="58">
        <f t="shared" si="8"/>
        <v>0.04</v>
      </c>
      <c r="P76" s="53"/>
      <c r="Q76" s="53"/>
      <c r="R76" s="58">
        <f t="shared" si="9"/>
        <v>7.0000000000000001E-3</v>
      </c>
      <c r="S76" s="41">
        <f t="shared" si="10"/>
        <v>4.7E-2</v>
      </c>
      <c r="T76" s="110">
        <f t="shared" si="7"/>
        <v>4.6999999999999931E-2</v>
      </c>
    </row>
    <row r="77" spans="1:20" x14ac:dyDescent="0.3">
      <c r="A77" s="53"/>
      <c r="B77" s="53"/>
      <c r="C77" s="53"/>
      <c r="D77" s="53"/>
      <c r="E77" s="53"/>
      <c r="F77" s="53"/>
      <c r="G77" s="53"/>
      <c r="H77" s="53"/>
      <c r="I77" s="53"/>
      <c r="J77" s="53"/>
      <c r="K77" s="53"/>
      <c r="L77" s="53"/>
      <c r="M77" s="53"/>
      <c r="N77" s="53">
        <v>74</v>
      </c>
      <c r="O77" s="58">
        <f t="shared" si="8"/>
        <v>0.04</v>
      </c>
      <c r="P77" s="53"/>
      <c r="Q77" s="53"/>
      <c r="R77" s="58">
        <f t="shared" si="9"/>
        <v>7.0000000000000001E-3</v>
      </c>
      <c r="S77" s="41">
        <f t="shared" si="10"/>
        <v>4.7E-2</v>
      </c>
      <c r="T77" s="110">
        <f t="shared" si="7"/>
        <v>4.6999999999999709E-2</v>
      </c>
    </row>
    <row r="78" spans="1:20" x14ac:dyDescent="0.3">
      <c r="A78" s="53"/>
      <c r="B78" s="53"/>
      <c r="C78" s="53"/>
      <c r="D78" s="53"/>
      <c r="E78" s="53"/>
      <c r="F78" s="53"/>
      <c r="G78" s="53"/>
      <c r="H78" s="53"/>
      <c r="I78" s="53"/>
      <c r="J78" s="53"/>
      <c r="K78" s="53"/>
      <c r="L78" s="53"/>
      <c r="M78" s="53"/>
      <c r="N78" s="53">
        <v>75</v>
      </c>
      <c r="O78" s="58">
        <f t="shared" si="8"/>
        <v>0.04</v>
      </c>
      <c r="P78" s="53"/>
      <c r="Q78" s="53"/>
      <c r="R78" s="58">
        <f t="shared" si="9"/>
        <v>7.0000000000000001E-3</v>
      </c>
      <c r="S78" s="41">
        <f t="shared" si="10"/>
        <v>4.7E-2</v>
      </c>
      <c r="T78" s="110">
        <f t="shared" si="7"/>
        <v>4.6999999999999709E-2</v>
      </c>
    </row>
    <row r="79" spans="1:20" x14ac:dyDescent="0.3">
      <c r="A79" s="53"/>
      <c r="B79" s="53"/>
      <c r="C79" s="53"/>
      <c r="D79" s="53"/>
      <c r="E79" s="53"/>
      <c r="F79" s="53"/>
      <c r="G79" s="53"/>
      <c r="H79" s="53"/>
      <c r="I79" s="53"/>
      <c r="J79" s="53"/>
      <c r="K79" s="53"/>
      <c r="L79" s="53"/>
      <c r="M79" s="53"/>
      <c r="N79" s="53">
        <v>76</v>
      </c>
      <c r="O79" s="58">
        <f t="shared" si="8"/>
        <v>0.04</v>
      </c>
      <c r="P79" s="53"/>
      <c r="Q79" s="53"/>
      <c r="R79" s="58">
        <f t="shared" si="9"/>
        <v>7.0000000000000001E-3</v>
      </c>
      <c r="S79" s="41">
        <f t="shared" si="10"/>
        <v>4.7E-2</v>
      </c>
      <c r="T79" s="110">
        <f t="shared" si="7"/>
        <v>4.7000000000000153E-2</v>
      </c>
    </row>
    <row r="80" spans="1:20" x14ac:dyDescent="0.3">
      <c r="A80" s="53"/>
      <c r="B80" s="53"/>
      <c r="C80" s="53"/>
      <c r="D80" s="53"/>
      <c r="E80" s="53"/>
      <c r="F80" s="53"/>
      <c r="G80" s="53"/>
      <c r="H80" s="53"/>
      <c r="I80" s="53"/>
      <c r="J80" s="53"/>
      <c r="K80" s="53"/>
      <c r="L80" s="53"/>
      <c r="M80" s="53"/>
      <c r="N80" s="53">
        <v>77</v>
      </c>
      <c r="O80" s="58">
        <f t="shared" si="8"/>
        <v>0.04</v>
      </c>
      <c r="P80" s="53"/>
      <c r="Q80" s="53"/>
      <c r="R80" s="58">
        <f t="shared" si="9"/>
        <v>7.0000000000000001E-3</v>
      </c>
      <c r="S80" s="41">
        <f t="shared" si="10"/>
        <v>4.7E-2</v>
      </c>
      <c r="T80" s="110">
        <f t="shared" si="7"/>
        <v>4.6999999999999931E-2</v>
      </c>
    </row>
    <row r="81" spans="1:20" x14ac:dyDescent="0.3">
      <c r="A81" s="53"/>
      <c r="B81" s="53"/>
      <c r="C81" s="53"/>
      <c r="D81" s="53"/>
      <c r="E81" s="53"/>
      <c r="F81" s="53"/>
      <c r="G81" s="53"/>
      <c r="H81" s="53"/>
      <c r="I81" s="53"/>
      <c r="J81" s="53"/>
      <c r="K81" s="53"/>
      <c r="L81" s="53"/>
      <c r="M81" s="53"/>
      <c r="N81" s="53">
        <v>78</v>
      </c>
      <c r="O81" s="58">
        <f t="shared" si="8"/>
        <v>0.04</v>
      </c>
      <c r="P81" s="53"/>
      <c r="Q81" s="53"/>
      <c r="R81" s="58">
        <f t="shared" si="9"/>
        <v>7.0000000000000001E-3</v>
      </c>
      <c r="S81" s="41">
        <f t="shared" si="10"/>
        <v>4.7E-2</v>
      </c>
      <c r="T81" s="110">
        <f t="shared" si="7"/>
        <v>4.6999999999999709E-2</v>
      </c>
    </row>
    <row r="82" spans="1:20" x14ac:dyDescent="0.3">
      <c r="A82" s="53"/>
      <c r="B82" s="53"/>
      <c r="C82" s="53"/>
      <c r="D82" s="53"/>
      <c r="E82" s="53"/>
      <c r="F82" s="53"/>
      <c r="G82" s="53"/>
      <c r="H82" s="53"/>
      <c r="I82" s="53"/>
      <c r="J82" s="53"/>
      <c r="K82" s="53"/>
      <c r="L82" s="53"/>
      <c r="M82" s="53"/>
      <c r="N82" s="53">
        <v>79</v>
      </c>
      <c r="O82" s="58">
        <f t="shared" si="8"/>
        <v>0.04</v>
      </c>
      <c r="P82" s="53"/>
      <c r="Q82" s="53"/>
      <c r="R82" s="58">
        <f t="shared" si="9"/>
        <v>7.0000000000000001E-3</v>
      </c>
      <c r="S82" s="41">
        <f t="shared" si="10"/>
        <v>4.7E-2</v>
      </c>
      <c r="T82" s="110">
        <f t="shared" si="7"/>
        <v>4.6999999999999931E-2</v>
      </c>
    </row>
    <row r="83" spans="1:20" x14ac:dyDescent="0.3">
      <c r="A83" s="53"/>
      <c r="B83" s="53"/>
      <c r="C83" s="53"/>
      <c r="D83" s="53"/>
      <c r="E83" s="53"/>
      <c r="F83" s="53"/>
      <c r="G83" s="53"/>
      <c r="H83" s="53"/>
      <c r="I83" s="53"/>
      <c r="J83" s="53"/>
      <c r="K83" s="53"/>
      <c r="L83" s="53"/>
      <c r="M83" s="53"/>
      <c r="N83" s="53">
        <v>80</v>
      </c>
      <c r="O83" s="58">
        <f t="shared" si="8"/>
        <v>0.04</v>
      </c>
      <c r="P83" s="53"/>
      <c r="Q83" s="53"/>
      <c r="R83" s="58">
        <f t="shared" si="9"/>
        <v>7.0000000000000001E-3</v>
      </c>
      <c r="S83" s="41">
        <f t="shared" si="10"/>
        <v>4.7E-2</v>
      </c>
      <c r="T83" s="110">
        <f t="shared" si="7"/>
        <v>4.6999999999999931E-2</v>
      </c>
    </row>
    <row r="84" spans="1:20" x14ac:dyDescent="0.3">
      <c r="A84" s="53"/>
      <c r="B84" s="53"/>
      <c r="C84" s="53"/>
      <c r="D84" s="53"/>
      <c r="E84" s="53"/>
      <c r="F84" s="53"/>
      <c r="G84" s="53"/>
      <c r="H84" s="53"/>
      <c r="I84" s="53"/>
      <c r="J84" s="53"/>
      <c r="K84" s="53"/>
      <c r="L84" s="53"/>
      <c r="M84" s="53"/>
      <c r="N84" s="53">
        <v>81</v>
      </c>
      <c r="O84" s="58">
        <f t="shared" si="8"/>
        <v>0.04</v>
      </c>
      <c r="P84" s="53"/>
      <c r="Q84" s="53"/>
      <c r="R84" s="58">
        <f t="shared" si="9"/>
        <v>7.0000000000000001E-3</v>
      </c>
      <c r="S84" s="41">
        <f t="shared" si="10"/>
        <v>4.7E-2</v>
      </c>
      <c r="T84" s="110">
        <f t="shared" si="7"/>
        <v>4.6999999999999709E-2</v>
      </c>
    </row>
    <row r="85" spans="1:20" x14ac:dyDescent="0.3">
      <c r="A85" s="53"/>
      <c r="B85" s="53"/>
      <c r="C85" s="53"/>
      <c r="D85" s="53"/>
      <c r="E85" s="53"/>
      <c r="F85" s="53"/>
      <c r="G85" s="53"/>
      <c r="H85" s="53"/>
      <c r="I85" s="53"/>
      <c r="J85" s="53"/>
      <c r="K85" s="53"/>
      <c r="L85" s="53"/>
      <c r="M85" s="53"/>
      <c r="N85" s="53">
        <v>82</v>
      </c>
      <c r="O85" s="58">
        <f t="shared" si="8"/>
        <v>0.04</v>
      </c>
      <c r="P85" s="53"/>
      <c r="Q85" s="53"/>
      <c r="R85" s="58">
        <f t="shared" si="9"/>
        <v>7.0000000000000001E-3</v>
      </c>
      <c r="S85" s="41">
        <f t="shared" si="10"/>
        <v>4.7E-2</v>
      </c>
      <c r="T85" s="110">
        <f t="shared" si="7"/>
        <v>4.6999999999999931E-2</v>
      </c>
    </row>
    <row r="86" spans="1:20" x14ac:dyDescent="0.3">
      <c r="A86" s="53"/>
      <c r="B86" s="53"/>
      <c r="C86" s="53"/>
      <c r="D86" s="53"/>
      <c r="E86" s="53"/>
      <c r="F86" s="53"/>
      <c r="G86" s="53"/>
      <c r="H86" s="53"/>
      <c r="I86" s="53"/>
      <c r="J86" s="53"/>
      <c r="K86" s="53"/>
      <c r="L86" s="53"/>
      <c r="M86" s="53"/>
      <c r="N86" s="53">
        <v>83</v>
      </c>
      <c r="O86" s="58">
        <f t="shared" si="8"/>
        <v>0.04</v>
      </c>
      <c r="P86" s="53"/>
      <c r="Q86" s="53"/>
      <c r="R86" s="58">
        <f t="shared" si="9"/>
        <v>7.0000000000000001E-3</v>
      </c>
      <c r="S86" s="41">
        <f t="shared" si="10"/>
        <v>4.7E-2</v>
      </c>
      <c r="T86" s="110">
        <f t="shared" si="7"/>
        <v>4.6999999999999931E-2</v>
      </c>
    </row>
    <row r="87" spans="1:20" x14ac:dyDescent="0.3">
      <c r="A87" s="53"/>
      <c r="B87" s="53"/>
      <c r="C87" s="53"/>
      <c r="D87" s="53"/>
      <c r="E87" s="53"/>
      <c r="F87" s="53"/>
      <c r="G87" s="53"/>
      <c r="H87" s="53"/>
      <c r="I87" s="53"/>
      <c r="J87" s="53"/>
      <c r="K87" s="53"/>
      <c r="L87" s="53"/>
      <c r="M87" s="53"/>
      <c r="N87" s="53">
        <v>84</v>
      </c>
      <c r="O87" s="58">
        <f t="shared" si="8"/>
        <v>0.04</v>
      </c>
      <c r="P87" s="53"/>
      <c r="Q87" s="53"/>
      <c r="R87" s="58">
        <f t="shared" si="9"/>
        <v>7.0000000000000001E-3</v>
      </c>
      <c r="S87" s="41">
        <f t="shared" si="10"/>
        <v>4.7E-2</v>
      </c>
      <c r="T87" s="110">
        <f t="shared" si="7"/>
        <v>4.6999999999999931E-2</v>
      </c>
    </row>
    <row r="88" spans="1:20" x14ac:dyDescent="0.3">
      <c r="A88" s="53"/>
      <c r="B88" s="53"/>
      <c r="C88" s="53"/>
      <c r="D88" s="53"/>
      <c r="E88" s="53"/>
      <c r="F88" s="53"/>
      <c r="G88" s="53"/>
      <c r="H88" s="53"/>
      <c r="I88" s="53"/>
      <c r="J88" s="53"/>
      <c r="K88" s="53"/>
      <c r="L88" s="53"/>
      <c r="M88" s="53"/>
      <c r="N88" s="53">
        <v>85</v>
      </c>
      <c r="O88" s="58">
        <f t="shared" si="8"/>
        <v>0.04</v>
      </c>
      <c r="P88" s="53"/>
      <c r="Q88" s="53"/>
      <c r="R88" s="58">
        <f t="shared" si="9"/>
        <v>7.0000000000000001E-3</v>
      </c>
      <c r="S88" s="41">
        <f t="shared" si="10"/>
        <v>4.7E-2</v>
      </c>
      <c r="T88" s="110">
        <f t="shared" si="7"/>
        <v>4.6999999999999931E-2</v>
      </c>
    </row>
    <row r="89" spans="1:20" x14ac:dyDescent="0.3">
      <c r="A89" s="53"/>
      <c r="B89" s="53"/>
      <c r="C89" s="53"/>
      <c r="D89" s="53"/>
      <c r="E89" s="53"/>
      <c r="F89" s="53"/>
      <c r="G89" s="53"/>
      <c r="H89" s="53"/>
      <c r="I89" s="53"/>
      <c r="J89" s="53"/>
      <c r="K89" s="53"/>
      <c r="L89" s="53"/>
      <c r="M89" s="53"/>
      <c r="N89" s="53">
        <v>86</v>
      </c>
      <c r="O89" s="58">
        <f t="shared" si="8"/>
        <v>0.04</v>
      </c>
      <c r="P89" s="53"/>
      <c r="Q89" s="53"/>
      <c r="R89" s="58">
        <f t="shared" si="9"/>
        <v>7.0000000000000001E-3</v>
      </c>
      <c r="S89" s="41">
        <f t="shared" si="10"/>
        <v>4.7E-2</v>
      </c>
      <c r="T89" s="110">
        <f t="shared" si="7"/>
        <v>4.6999999999999709E-2</v>
      </c>
    </row>
    <row r="90" spans="1:20" x14ac:dyDescent="0.3">
      <c r="A90" s="53"/>
      <c r="B90" s="53"/>
      <c r="C90" s="53"/>
      <c r="D90" s="53"/>
      <c r="E90" s="53"/>
      <c r="F90" s="53"/>
      <c r="G90" s="53"/>
      <c r="H90" s="53"/>
      <c r="I90" s="53"/>
      <c r="J90" s="53"/>
      <c r="K90" s="53"/>
      <c r="L90" s="53"/>
      <c r="M90" s="53"/>
      <c r="N90" s="53">
        <v>87</v>
      </c>
      <c r="O90" s="58">
        <f t="shared" si="8"/>
        <v>0.04</v>
      </c>
      <c r="P90" s="53"/>
      <c r="Q90" s="53"/>
      <c r="R90" s="58">
        <f t="shared" si="9"/>
        <v>7.0000000000000001E-3</v>
      </c>
      <c r="S90" s="41">
        <f t="shared" si="10"/>
        <v>4.7E-2</v>
      </c>
      <c r="T90" s="110">
        <f t="shared" si="7"/>
        <v>4.6999999999999931E-2</v>
      </c>
    </row>
    <row r="91" spans="1:20" x14ac:dyDescent="0.3">
      <c r="A91" s="53"/>
      <c r="B91" s="53"/>
      <c r="C91" s="53"/>
      <c r="D91" s="53"/>
      <c r="E91" s="53"/>
      <c r="F91" s="53"/>
      <c r="G91" s="53"/>
      <c r="H91" s="53"/>
      <c r="I91" s="53"/>
      <c r="J91" s="53"/>
      <c r="K91" s="53"/>
      <c r="L91" s="53"/>
      <c r="M91" s="53"/>
      <c r="N91" s="53">
        <v>88</v>
      </c>
      <c r="O91" s="58">
        <f t="shared" si="8"/>
        <v>0.04</v>
      </c>
      <c r="P91" s="53"/>
      <c r="Q91" s="53"/>
      <c r="R91" s="58">
        <f t="shared" si="9"/>
        <v>7.0000000000000001E-3</v>
      </c>
      <c r="S91" s="41">
        <f t="shared" si="10"/>
        <v>4.7E-2</v>
      </c>
      <c r="T91" s="110">
        <f t="shared" si="7"/>
        <v>4.6999999999999931E-2</v>
      </c>
    </row>
    <row r="92" spans="1:20" x14ac:dyDescent="0.3">
      <c r="A92" s="53"/>
      <c r="B92" s="53"/>
      <c r="C92" s="53"/>
      <c r="D92" s="53"/>
      <c r="E92" s="53"/>
      <c r="F92" s="53"/>
      <c r="G92" s="53"/>
      <c r="H92" s="53"/>
      <c r="I92" s="53"/>
      <c r="J92" s="53"/>
      <c r="K92" s="53"/>
      <c r="L92" s="53"/>
      <c r="M92" s="53"/>
      <c r="N92" s="53">
        <v>89</v>
      </c>
      <c r="O92" s="58">
        <f t="shared" si="8"/>
        <v>0.04</v>
      </c>
      <c r="P92" s="53"/>
      <c r="Q92" s="53"/>
      <c r="R92" s="58">
        <f t="shared" si="9"/>
        <v>7.0000000000000001E-3</v>
      </c>
      <c r="S92" s="41">
        <f t="shared" si="10"/>
        <v>4.7E-2</v>
      </c>
      <c r="T92" s="110">
        <f t="shared" si="7"/>
        <v>4.6999999999999931E-2</v>
      </c>
    </row>
    <row r="93" spans="1:20" x14ac:dyDescent="0.3">
      <c r="A93" s="53"/>
      <c r="B93" s="53"/>
      <c r="C93" s="53"/>
      <c r="D93" s="53"/>
      <c r="E93" s="53"/>
      <c r="F93" s="53"/>
      <c r="G93" s="53"/>
      <c r="H93" s="53"/>
      <c r="I93" s="53"/>
      <c r="J93" s="53"/>
      <c r="K93" s="53"/>
      <c r="L93" s="53"/>
      <c r="M93" s="53"/>
      <c r="N93" s="53">
        <v>90</v>
      </c>
      <c r="O93" s="58">
        <f t="shared" si="8"/>
        <v>0.04</v>
      </c>
      <c r="P93" s="53"/>
      <c r="Q93" s="53"/>
      <c r="R93" s="58">
        <f t="shared" si="9"/>
        <v>7.0000000000000001E-3</v>
      </c>
      <c r="S93" s="41">
        <f t="shared" si="10"/>
        <v>4.7E-2</v>
      </c>
      <c r="T93" s="110">
        <f t="shared" si="7"/>
        <v>4.6999999999999709E-2</v>
      </c>
    </row>
    <row r="94" spans="1:20" x14ac:dyDescent="0.3">
      <c r="A94" s="53"/>
      <c r="B94" s="53"/>
      <c r="C94" s="53"/>
      <c r="D94" s="53"/>
      <c r="E94" s="53"/>
      <c r="F94" s="53"/>
      <c r="G94" s="53"/>
      <c r="H94" s="53"/>
      <c r="I94" s="53"/>
      <c r="J94" s="53"/>
      <c r="K94" s="53"/>
      <c r="L94" s="53"/>
      <c r="M94" s="53"/>
      <c r="N94" s="53">
        <v>91</v>
      </c>
      <c r="O94" s="58">
        <f t="shared" si="8"/>
        <v>0.04</v>
      </c>
      <c r="P94" s="53"/>
      <c r="Q94" s="53"/>
      <c r="R94" s="58">
        <f t="shared" si="9"/>
        <v>7.0000000000000001E-3</v>
      </c>
      <c r="S94" s="41">
        <f t="shared" si="10"/>
        <v>4.7E-2</v>
      </c>
      <c r="T94" s="110">
        <f t="shared" si="7"/>
        <v>4.6999999999999709E-2</v>
      </c>
    </row>
    <row r="95" spans="1:20" x14ac:dyDescent="0.3">
      <c r="A95" s="53"/>
      <c r="B95" s="53"/>
      <c r="C95" s="53"/>
      <c r="D95" s="53"/>
      <c r="E95" s="53"/>
      <c r="F95" s="53"/>
      <c r="G95" s="53"/>
      <c r="H95" s="53"/>
      <c r="I95" s="53"/>
      <c r="J95" s="53"/>
      <c r="K95" s="53"/>
      <c r="L95" s="53"/>
      <c r="M95" s="53"/>
      <c r="N95" s="53">
        <v>92</v>
      </c>
      <c r="O95" s="58">
        <f t="shared" si="8"/>
        <v>0.04</v>
      </c>
      <c r="P95" s="53"/>
      <c r="Q95" s="53"/>
      <c r="R95" s="58">
        <f t="shared" si="9"/>
        <v>7.0000000000000001E-3</v>
      </c>
      <c r="S95" s="41">
        <f t="shared" si="10"/>
        <v>4.7E-2</v>
      </c>
      <c r="T95" s="110">
        <f t="shared" si="7"/>
        <v>4.6999999999999931E-2</v>
      </c>
    </row>
    <row r="96" spans="1:20" x14ac:dyDescent="0.3">
      <c r="A96" s="53"/>
      <c r="B96" s="53"/>
      <c r="C96" s="53"/>
      <c r="D96" s="53"/>
      <c r="E96" s="53"/>
      <c r="F96" s="53"/>
      <c r="G96" s="53"/>
      <c r="H96" s="53"/>
      <c r="I96" s="53"/>
      <c r="J96" s="53"/>
      <c r="K96" s="53"/>
      <c r="L96" s="53"/>
      <c r="M96" s="53"/>
      <c r="N96" s="53">
        <v>93</v>
      </c>
      <c r="O96" s="58">
        <f t="shared" si="8"/>
        <v>0.04</v>
      </c>
      <c r="P96" s="53"/>
      <c r="Q96" s="53"/>
      <c r="R96" s="58">
        <f t="shared" si="9"/>
        <v>7.0000000000000001E-3</v>
      </c>
      <c r="S96" s="41">
        <f t="shared" si="10"/>
        <v>4.7E-2</v>
      </c>
      <c r="T96" s="110">
        <f t="shared" si="7"/>
        <v>4.6999999999999931E-2</v>
      </c>
    </row>
    <row r="97" spans="1:20" x14ac:dyDescent="0.3">
      <c r="A97" s="53"/>
      <c r="B97" s="53"/>
      <c r="C97" s="53"/>
      <c r="D97" s="53"/>
      <c r="E97" s="53"/>
      <c r="F97" s="53"/>
      <c r="G97" s="53"/>
      <c r="H97" s="53"/>
      <c r="I97" s="53"/>
      <c r="J97" s="53"/>
      <c r="K97" s="53"/>
      <c r="L97" s="53"/>
      <c r="M97" s="53"/>
      <c r="N97" s="53">
        <v>94</v>
      </c>
      <c r="O97" s="58">
        <f t="shared" si="8"/>
        <v>0.04</v>
      </c>
      <c r="P97" s="53"/>
      <c r="Q97" s="53"/>
      <c r="R97" s="58">
        <f t="shared" si="9"/>
        <v>7.0000000000000001E-3</v>
      </c>
      <c r="S97" s="41">
        <f t="shared" si="10"/>
        <v>4.7E-2</v>
      </c>
      <c r="T97" s="110">
        <f t="shared" si="7"/>
        <v>4.6999999999999709E-2</v>
      </c>
    </row>
    <row r="98" spans="1:20" x14ac:dyDescent="0.3">
      <c r="A98" s="53"/>
      <c r="B98" s="53"/>
      <c r="C98" s="53"/>
      <c r="D98" s="53"/>
      <c r="E98" s="53"/>
      <c r="F98" s="53"/>
      <c r="G98" s="53"/>
      <c r="H98" s="53"/>
      <c r="I98" s="53"/>
      <c r="J98" s="53"/>
      <c r="K98" s="53"/>
      <c r="L98" s="53"/>
      <c r="M98" s="53"/>
      <c r="N98" s="53">
        <v>95</v>
      </c>
      <c r="O98" s="58">
        <f t="shared" ref="O98:O103" si="11">IF(N98&gt;=ult_rate_year_Liq,ult_rate_Liq,(ult_rate_Liq-$O$33)/(ult_rate_year_Liq-obs_period_Liq)+O97)</f>
        <v>0.04</v>
      </c>
      <c r="P98" s="53"/>
      <c r="Q98" s="53"/>
      <c r="R98" s="58">
        <f t="shared" ref="R98:R103" si="12">IF(N98&gt;=ult_rate_year_Liq,liq_prem_ult_Liq,(liq_prem_ult_Liq-$R$33)/(ult_rate_year_Liq-obs_period_Liq)+R97)</f>
        <v>7.0000000000000001E-3</v>
      </c>
      <c r="S98" s="41">
        <f t="shared" si="10"/>
        <v>4.7E-2</v>
      </c>
      <c r="T98" s="110">
        <f t="shared" ref="T98:T103" si="13">((1+S98)^N98)/((1+S97)^N97)-1</f>
        <v>4.6999999999999931E-2</v>
      </c>
    </row>
    <row r="99" spans="1:20" x14ac:dyDescent="0.3">
      <c r="A99" s="53"/>
      <c r="B99" s="53"/>
      <c r="C99" s="53"/>
      <c r="D99" s="53"/>
      <c r="E99" s="53"/>
      <c r="F99" s="53"/>
      <c r="G99" s="53"/>
      <c r="H99" s="53"/>
      <c r="I99" s="53"/>
      <c r="J99" s="53"/>
      <c r="K99" s="53"/>
      <c r="L99" s="53"/>
      <c r="M99" s="53"/>
      <c r="N99" s="53">
        <v>96</v>
      </c>
      <c r="O99" s="58">
        <f t="shared" si="11"/>
        <v>0.04</v>
      </c>
      <c r="P99" s="53"/>
      <c r="Q99" s="53"/>
      <c r="R99" s="58">
        <f t="shared" si="12"/>
        <v>7.0000000000000001E-3</v>
      </c>
      <c r="S99" s="41">
        <f t="shared" si="10"/>
        <v>4.7E-2</v>
      </c>
      <c r="T99" s="110">
        <f t="shared" si="13"/>
        <v>4.6999999999999709E-2</v>
      </c>
    </row>
    <row r="100" spans="1:20" x14ac:dyDescent="0.3">
      <c r="A100" s="53"/>
      <c r="B100" s="53"/>
      <c r="C100" s="53"/>
      <c r="D100" s="53"/>
      <c r="E100" s="53"/>
      <c r="F100" s="53"/>
      <c r="G100" s="53"/>
      <c r="H100" s="53"/>
      <c r="I100" s="53"/>
      <c r="J100" s="53"/>
      <c r="K100" s="53"/>
      <c r="L100" s="53"/>
      <c r="M100" s="53"/>
      <c r="N100" s="53">
        <v>97</v>
      </c>
      <c r="O100" s="58">
        <f t="shared" si="11"/>
        <v>0.04</v>
      </c>
      <c r="P100" s="53"/>
      <c r="Q100" s="53"/>
      <c r="R100" s="58">
        <f t="shared" si="12"/>
        <v>7.0000000000000001E-3</v>
      </c>
      <c r="S100" s="41">
        <f t="shared" si="10"/>
        <v>4.7E-2</v>
      </c>
      <c r="T100" s="110">
        <f t="shared" si="13"/>
        <v>4.7000000000000153E-2</v>
      </c>
    </row>
    <row r="101" spans="1:20" x14ac:dyDescent="0.3">
      <c r="A101" s="53"/>
      <c r="B101" s="53"/>
      <c r="C101" s="53"/>
      <c r="D101" s="53"/>
      <c r="E101" s="53"/>
      <c r="F101" s="53"/>
      <c r="G101" s="53"/>
      <c r="H101" s="53"/>
      <c r="I101" s="53"/>
      <c r="J101" s="53"/>
      <c r="K101" s="53"/>
      <c r="L101" s="53"/>
      <c r="M101" s="53"/>
      <c r="N101" s="53">
        <v>98</v>
      </c>
      <c r="O101" s="58">
        <f t="shared" si="11"/>
        <v>0.04</v>
      </c>
      <c r="P101" s="53"/>
      <c r="Q101" s="53"/>
      <c r="R101" s="58">
        <f t="shared" si="12"/>
        <v>7.0000000000000001E-3</v>
      </c>
      <c r="S101" s="41">
        <f t="shared" si="10"/>
        <v>4.7E-2</v>
      </c>
      <c r="T101" s="110">
        <f t="shared" si="13"/>
        <v>4.6999999999999709E-2</v>
      </c>
    </row>
    <row r="102" spans="1:20" x14ac:dyDescent="0.3">
      <c r="A102" s="53"/>
      <c r="B102" s="53"/>
      <c r="C102" s="53"/>
      <c r="D102" s="53"/>
      <c r="E102" s="53"/>
      <c r="F102" s="53"/>
      <c r="G102" s="53"/>
      <c r="H102" s="53"/>
      <c r="I102" s="53"/>
      <c r="J102" s="53"/>
      <c r="K102" s="53"/>
      <c r="L102" s="53"/>
      <c r="M102" s="53"/>
      <c r="N102" s="53">
        <v>99</v>
      </c>
      <c r="O102" s="58">
        <f t="shared" si="11"/>
        <v>0.04</v>
      </c>
      <c r="P102" s="53"/>
      <c r="Q102" s="53"/>
      <c r="R102" s="58">
        <f t="shared" si="12"/>
        <v>7.0000000000000001E-3</v>
      </c>
      <c r="S102" s="41">
        <f t="shared" si="10"/>
        <v>4.7E-2</v>
      </c>
      <c r="T102" s="110">
        <f t="shared" si="13"/>
        <v>4.6999999999999709E-2</v>
      </c>
    </row>
    <row r="103" spans="1:20" x14ac:dyDescent="0.3">
      <c r="A103" s="53"/>
      <c r="B103" s="53"/>
      <c r="C103" s="53"/>
      <c r="D103" s="53"/>
      <c r="E103" s="53"/>
      <c r="F103" s="53"/>
      <c r="G103" s="53"/>
      <c r="H103" s="53"/>
      <c r="I103" s="53"/>
      <c r="J103" s="53"/>
      <c r="K103" s="53"/>
      <c r="L103" s="53"/>
      <c r="M103" s="53"/>
      <c r="N103" s="53">
        <v>100</v>
      </c>
      <c r="O103" s="58">
        <f t="shared" si="11"/>
        <v>0.04</v>
      </c>
      <c r="P103" s="53"/>
      <c r="Q103" s="53"/>
      <c r="R103" s="58">
        <f t="shared" si="12"/>
        <v>7.0000000000000001E-3</v>
      </c>
      <c r="S103" s="41">
        <f t="shared" si="10"/>
        <v>4.7E-2</v>
      </c>
      <c r="T103" s="110">
        <f t="shared" si="13"/>
        <v>4.7000000000000153E-2</v>
      </c>
    </row>
    <row r="104" spans="1:20" x14ac:dyDescent="0.3">
      <c r="A104" s="53"/>
      <c r="B104" s="53"/>
      <c r="C104" s="53"/>
      <c r="D104" s="53"/>
      <c r="E104" s="53"/>
      <c r="F104" s="53"/>
      <c r="G104" s="53"/>
      <c r="H104" s="53"/>
      <c r="I104" s="53"/>
      <c r="J104" s="53"/>
      <c r="K104" s="53"/>
      <c r="L104" s="53"/>
      <c r="M104" s="53"/>
      <c r="N104" s="53"/>
      <c r="O104" s="53"/>
      <c r="P104" s="53"/>
      <c r="Q104" s="53"/>
      <c r="R104" s="53"/>
      <c r="S104" s="53"/>
      <c r="T104" s="53"/>
    </row>
    <row r="105" spans="1:20" x14ac:dyDescent="0.3">
      <c r="A105" s="53"/>
      <c r="B105" s="53"/>
      <c r="C105" s="53"/>
      <c r="D105" s="53"/>
      <c r="E105" s="53"/>
      <c r="F105" s="53"/>
      <c r="G105" s="53"/>
      <c r="H105" s="53"/>
      <c r="I105" s="53"/>
      <c r="J105" s="53"/>
      <c r="K105" s="53"/>
      <c r="L105" s="53"/>
      <c r="M105" s="53"/>
      <c r="N105" s="53"/>
      <c r="O105" s="53"/>
      <c r="P105" s="53"/>
      <c r="Q105" s="53"/>
      <c r="R105" s="53"/>
      <c r="S105" s="53"/>
      <c r="T105" s="53"/>
    </row>
  </sheetData>
  <sheetProtection sheet="1" objects="1" scenarios="1"/>
  <conditionalFormatting sqref="C7">
    <cfRule type="expression" dxfId="3" priority="2">
      <formula>$C$7&lt;=$C$5</formula>
    </cfRule>
  </conditionalFormatting>
  <conditionalFormatting sqref="K16">
    <cfRule type="expression" dxfId="2" priority="1">
      <formula>$K$16&lt;&gt;100%</formula>
    </cfRule>
  </conditionalFormatting>
  <dataValidations xWindow="262" yWindow="630" count="12">
    <dataValidation type="list" allowBlank="1" showDropDown="1" showInputMessage="1" showErrorMessage="1" promptTitle="Type de taux d'intérêt" prompt="Veuillez choisir le type de courbe à construire." sqref="C4" xr:uid="{00000000-0002-0000-0400-000000000000}">
      <formula1>"Au comptant"</formula1>
    </dataValidation>
    <dataValidation type="decimal" operator="equal" allowBlank="1" showInputMessage="1" showErrorMessage="1" errorTitle="Ultimate Liquidity Premium" error="Input value must be 0.70%" promptTitle="Prime de liquidité ultime" prompt="Prime de liquidité ultime s'appliquant à la durée à partir de laquelle le taux ultime s'applique.  " sqref="C10" xr:uid="{00000000-0002-0000-0400-000001000000}">
      <formula1>0.007</formula1>
    </dataValidation>
    <dataValidation type="decimal" operator="equal" allowBlank="1" showInputMessage="1" showErrorMessage="1" errorTitle="Liquidity Spread Ratio" error="Input value must be 90%." promptTitle="Ratio de l'écart de liquidité" prompt="Veuillez entrer le ratio de l'écart de liquidité. Ceci est la proportion de l'écart de crédit du portefeuille de référence correspondant à la liquidité." sqref="C8" xr:uid="{00000000-0002-0000-0400-000002000000}">
      <formula1>0.9</formula1>
    </dataValidation>
    <dataValidation type="whole" operator="equal" allowBlank="1" showInputMessage="1" showErrorMessage="1" errorTitle="Liquidity Premium Constant" error="Input value must be zero." promptTitle="Constante de prime de liquidité" prompt="Ajustement additionel reflétant l'écart entre les caractéristiques de liquidité des contrats d'assurance et les actifs du portefeuille de référence." sqref="C9" xr:uid="{00000000-0002-0000-0400-000003000000}">
      <formula1>0</formula1>
    </dataValidation>
    <dataValidation type="whole" operator="equal" allowBlank="1" showInputMessage="1" showErrorMessage="1" errorTitle="Ultimate Rate Timing" error="Input value must be 70." promptTitle="Durée du taux ultime" prompt="Veuillez entrer un nombre entier pour préciser la durée à laquelle le taux ultime s'applique.  La durée du taux ultime doit être supérieure à la durée de la période observable." sqref="C7" xr:uid="{00000000-0002-0000-0400-000004000000}">
      <formula1>70</formula1>
    </dataValidation>
    <dataValidation type="decimal" operator="equal" allowBlank="1" showInputMessage="1" showErrorMessage="1" errorTitle="Ultimate Rate" error="Input value must be 4.00%" promptTitle="Taux sans risque ultime" prompt="Veuillez entrer le taux sans risque ultime, lequel sera utilisé à partir de la durée à laquelle la période ultime s'applique." sqref="C6" xr:uid="{00000000-0002-0000-0400-000005000000}">
      <formula1>0.04</formula1>
    </dataValidation>
    <dataValidation type="whole" operator="equal" allowBlank="1" showInputMessage="1" showErrorMessage="1" errorTitle="Observable Period" error="Input value must be 30." promptTitle="Durée de la période observable" prompt="La période observable a été établie à 30 ans." sqref="C5" xr:uid="{00000000-0002-0000-0400-000006000000}">
      <formula1>30</formula1>
    </dataValidation>
    <dataValidation type="decimal" operator="equal" allowBlank="1" showInputMessage="1" showErrorMessage="1" errorTitle="Portion of Provincial Bonds" error="Input value must be 100%" sqref="G16" xr:uid="{00000000-0002-0000-0400-000007000000}">
      <formula1>1</formula1>
    </dataValidation>
    <dataValidation type="whole" operator="equal" allowBlank="1" showInputMessage="1" showErrorMessage="1" errorTitle="Portion of Corporate Bond" error="Input value must be 0%_x000a_" sqref="H16" xr:uid="{00000000-0002-0000-0400-000008000000}">
      <formula1>0</formula1>
    </dataValidation>
    <dataValidation type="whole" operator="equal" allowBlank="1" showInputMessage="1" showErrorMessage="1" errorTitle="Portion of Mortgages" error="Input value must be 0%" sqref="I16" xr:uid="{00000000-0002-0000-0400-000009000000}">
      <formula1>0</formula1>
    </dataValidation>
    <dataValidation type="whole" operator="equal" allowBlank="1" showInputMessage="1" showErrorMessage="1" errorTitle="Portion of Privates" error="Input value must be 0%" sqref="J16" xr:uid="{00000000-0002-0000-0400-00000A000000}">
      <formula1>0</formula1>
    </dataValidation>
    <dataValidation type="list" allowBlank="1" showDropDown="1" showInputMessage="1" showErrorMessage="1" promptTitle="Méthode d'interpolation" prompt="Une méthode d'interpolation linéaire est utilisée pour les courbes de référence._x000a_" sqref="C11" xr:uid="{00000000-0002-0000-0400-00000B000000}">
      <formula1>"Linéaire"</formula1>
    </dataValidation>
  </dataValidations>
  <pageMargins left="0.7" right="0.7" top="0.75" bottom="0.75" header="0.3" footer="0.3"/>
  <pageSetup orientation="portrait" r:id="rId1"/>
  <headerFooter>
    <oddHeader>&amp;C&amp;G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66"/>
  <sheetViews>
    <sheetView showGridLines="0" view="pageLayout" topLeftCell="J1" zoomScaleNormal="75" workbookViewId="0">
      <selection activeCell="Q2" sqref="Q2"/>
    </sheetView>
  </sheetViews>
  <sheetFormatPr defaultColWidth="9.21875" defaultRowHeight="14.4" x14ac:dyDescent="0.3"/>
  <cols>
    <col min="2" max="2" width="5.44140625" customWidth="1"/>
    <col min="3" max="3" width="8.77734375" bestFit="1" customWidth="1"/>
    <col min="4" max="7" width="11.44140625" customWidth="1"/>
    <col min="9" max="9" width="5" bestFit="1" customWidth="1"/>
    <col min="10" max="11" width="11.44140625" customWidth="1"/>
    <col min="12" max="12" width="2.77734375" customWidth="1"/>
    <col min="13" max="13" width="3.21875" customWidth="1"/>
    <col min="14" max="14" width="5.21875" customWidth="1"/>
    <col min="15" max="15" width="8.77734375" bestFit="1" customWidth="1"/>
    <col min="16" max="19" width="11.44140625" customWidth="1"/>
    <col min="21" max="21" width="5" bestFit="1" customWidth="1"/>
    <col min="22" max="23" width="11.44140625" customWidth="1"/>
    <col min="24" max="24" width="3.77734375" customWidth="1"/>
    <col min="25" max="26" width="11.44140625" customWidth="1"/>
  </cols>
  <sheetData>
    <row r="1" spans="1:27" ht="18" x14ac:dyDescent="0.35">
      <c r="A1" s="52" t="s">
        <v>48</v>
      </c>
      <c r="B1" s="52"/>
      <c r="C1" s="53"/>
      <c r="D1" s="53"/>
      <c r="E1" s="53"/>
      <c r="F1" s="53"/>
      <c r="G1" s="53"/>
      <c r="H1" s="53"/>
      <c r="I1" s="53"/>
      <c r="J1" s="53"/>
      <c r="K1" s="53"/>
      <c r="L1" s="53"/>
      <c r="M1" s="53"/>
      <c r="N1" s="53"/>
      <c r="O1" s="53"/>
      <c r="P1" s="53"/>
      <c r="Q1" s="53"/>
      <c r="R1" s="53"/>
      <c r="S1" s="53"/>
      <c r="T1" s="53"/>
      <c r="U1" s="53"/>
      <c r="V1" s="53"/>
      <c r="W1" s="53"/>
      <c r="X1" s="53"/>
      <c r="Y1" s="53"/>
      <c r="Z1" s="53"/>
      <c r="AA1" s="53"/>
    </row>
    <row r="2" spans="1:27" ht="15" thickBot="1" x14ac:dyDescent="0.35">
      <c r="A2" s="53"/>
      <c r="B2" s="53"/>
      <c r="C2" s="53"/>
      <c r="D2" s="53"/>
      <c r="E2" s="53"/>
      <c r="F2" s="53"/>
      <c r="G2" s="53"/>
      <c r="H2" s="53"/>
      <c r="I2" s="53"/>
      <c r="J2" s="53"/>
      <c r="K2" s="53"/>
      <c r="L2" s="53"/>
      <c r="M2" s="53"/>
      <c r="N2" s="53"/>
      <c r="O2" s="53"/>
      <c r="P2" s="53"/>
      <c r="Q2" s="53"/>
      <c r="R2" s="53"/>
      <c r="S2" s="53"/>
      <c r="T2" s="53"/>
      <c r="U2" s="53"/>
      <c r="V2" s="53"/>
      <c r="W2" s="53"/>
      <c r="X2" s="53"/>
      <c r="Y2" s="53"/>
      <c r="Z2" s="53"/>
      <c r="AA2" s="53"/>
    </row>
    <row r="3" spans="1:27" ht="15" thickBot="1" x14ac:dyDescent="0.35">
      <c r="A3" s="53"/>
      <c r="B3" s="53"/>
      <c r="C3" s="30" t="s">
        <v>26</v>
      </c>
      <c r="D3" s="31"/>
      <c r="E3" s="31"/>
      <c r="F3" s="31"/>
      <c r="G3" s="31"/>
      <c r="H3" s="31"/>
      <c r="I3" s="31"/>
      <c r="J3" s="31"/>
      <c r="K3" s="32"/>
      <c r="L3" s="53"/>
      <c r="M3" s="53"/>
      <c r="N3" s="53"/>
      <c r="O3" s="33" t="s">
        <v>32</v>
      </c>
      <c r="P3" s="34"/>
      <c r="Q3" s="34"/>
      <c r="R3" s="34"/>
      <c r="S3" s="34"/>
      <c r="T3" s="34"/>
      <c r="U3" s="34"/>
      <c r="V3" s="34"/>
      <c r="W3" s="35"/>
      <c r="X3" s="53"/>
      <c r="Y3" s="33" t="s">
        <v>40</v>
      </c>
      <c r="Z3" s="35"/>
      <c r="AA3" s="53"/>
    </row>
    <row r="4" spans="1:27" ht="43.8" thickBot="1" x14ac:dyDescent="0.35">
      <c r="A4" s="53"/>
      <c r="B4" s="53"/>
      <c r="C4" s="63" t="s">
        <v>33</v>
      </c>
      <c r="D4" s="63" t="s">
        <v>34</v>
      </c>
      <c r="E4" s="63" t="s">
        <v>35</v>
      </c>
      <c r="F4" s="63" t="s">
        <v>36</v>
      </c>
      <c r="G4" s="64" t="s">
        <v>37</v>
      </c>
      <c r="H4" s="53"/>
      <c r="I4" s="63" t="s">
        <v>25</v>
      </c>
      <c r="J4" s="64" t="s">
        <v>38</v>
      </c>
      <c r="K4" s="64" t="s">
        <v>39</v>
      </c>
      <c r="L4" s="53"/>
      <c r="M4" s="53"/>
      <c r="N4" s="53"/>
      <c r="O4" s="63" t="s">
        <v>33</v>
      </c>
      <c r="P4" s="63" t="s">
        <v>34</v>
      </c>
      <c r="Q4" s="63" t="s">
        <v>35</v>
      </c>
      <c r="R4" s="63" t="s">
        <v>36</v>
      </c>
      <c r="S4" s="64" t="s">
        <v>37</v>
      </c>
      <c r="T4" s="53"/>
      <c r="U4" s="63" t="s">
        <v>25</v>
      </c>
      <c r="V4" s="64" t="s">
        <v>38</v>
      </c>
      <c r="W4" s="64" t="s">
        <v>39</v>
      </c>
      <c r="X4" s="53"/>
      <c r="Y4" s="63" t="s">
        <v>31</v>
      </c>
      <c r="Z4" s="63" t="s">
        <v>41</v>
      </c>
      <c r="AA4" s="53"/>
    </row>
    <row r="5" spans="1:27" x14ac:dyDescent="0.3">
      <c r="A5" s="53"/>
      <c r="B5" s="65">
        <v>1</v>
      </c>
      <c r="C5" s="63">
        <v>0.5</v>
      </c>
      <c r="D5" s="5">
        <f>VLOOKUP(C5,par_input_Liq,2,FALSE)</f>
        <v>4.2599999999999999E-3</v>
      </c>
      <c r="E5" s="8">
        <f>1/(1+G5/2)^B5</f>
        <v>0.9978745272569427</v>
      </c>
      <c r="F5" s="9"/>
      <c r="G5" s="20">
        <f>D5</f>
        <v>4.2599999999999999E-3</v>
      </c>
      <c r="I5" s="17">
        <v>1</v>
      </c>
      <c r="J5" s="21">
        <f>(1+VLOOKUP(I5,$C$5:$G$64,5,FALSE)/2)^2-1</f>
        <v>4.2645368999998379E-3</v>
      </c>
      <c r="K5" s="24">
        <f>J5</f>
        <v>4.2645368999998379E-3</v>
      </c>
      <c r="N5" s="4">
        <v>1</v>
      </c>
      <c r="O5" s="3">
        <v>0.5</v>
      </c>
      <c r="P5" s="38">
        <f>P6</f>
        <v>7.5100000000000002E-3</v>
      </c>
      <c r="Q5" s="8">
        <f>1/(1+S5/2)^N5</f>
        <v>0.99625904727747316</v>
      </c>
      <c r="R5" s="9"/>
      <c r="S5" s="20">
        <f>P5</f>
        <v>7.5100000000000002E-3</v>
      </c>
      <c r="U5" s="17">
        <v>1</v>
      </c>
      <c r="V5" s="21">
        <f>(1+VLOOKUP(U5,$O$5:$S$64,5,FALSE)/2)^2-1</f>
        <v>7.5241000249999246E-3</v>
      </c>
      <c r="W5" s="24">
        <f>V5</f>
        <v>7.5241000249999246E-3</v>
      </c>
      <c r="Y5" s="21">
        <f>V5-J5</f>
        <v>3.2595631250000867E-3</v>
      </c>
      <c r="Z5" s="24">
        <f>W5-K5</f>
        <v>3.2595631250000867E-3</v>
      </c>
      <c r="AA5" s="53"/>
    </row>
    <row r="6" spans="1:27" x14ac:dyDescent="0.3">
      <c r="A6" s="53"/>
      <c r="B6" s="65">
        <v>2</v>
      </c>
      <c r="C6" s="63">
        <v>1</v>
      </c>
      <c r="D6" s="6">
        <f>VLOOKUP(C6,par_input_Liq,2,FALSE)</f>
        <v>4.2599999999999999E-3</v>
      </c>
      <c r="E6" s="10">
        <f t="shared" ref="E6:E64" si="0">1/(1+G6/2)^B6</f>
        <v>0.9957535721482671</v>
      </c>
      <c r="F6" s="10">
        <f>D6/2*SUM($E$5:E5)</f>
        <v>2.1254727430572878E-3</v>
      </c>
      <c r="G6" s="18">
        <f>(((1+D6/2)/(1-F6))^(1/B6)-1)*2</f>
        <v>4.2599999999999305E-3</v>
      </c>
      <c r="I6" s="17">
        <v>2</v>
      </c>
      <c r="J6" s="22">
        <f t="shared" ref="J6:J34" si="1">(1+VLOOKUP(I6,$C$5:$G$64,5,FALSE)/2)^2-1</f>
        <v>4.5659707931942073E-3</v>
      </c>
      <c r="K6" s="25">
        <f>((1+J6)^I6)/((1+J5)^I5)-1</f>
        <v>4.8674951629399388E-3</v>
      </c>
      <c r="N6" s="4">
        <v>2</v>
      </c>
      <c r="O6" s="3">
        <v>1</v>
      </c>
      <c r="P6" s="6">
        <f>(VLOOKUP(O6,par_input_Liq,2,FALSE)+VLOOKUP(O6,spread_input_Liq,2,FALSE))</f>
        <v>7.5100000000000002E-3</v>
      </c>
      <c r="Q6" s="10">
        <f t="shared" ref="Q6:Q64" si="2">1/(1+S6/2)^N6</f>
        <v>0.99253208928221848</v>
      </c>
      <c r="R6" s="10">
        <f>P6/2*SUM($Q$5:Q5)</f>
        <v>3.7409527225269116E-3</v>
      </c>
      <c r="S6" s="18">
        <f>(((1+P6/2)/(1-R6))^(1/N6)-1)*2</f>
        <v>7.5099999999999056E-3</v>
      </c>
      <c r="U6" s="17">
        <v>2</v>
      </c>
      <c r="V6" s="22">
        <f t="shared" ref="V6:V34" si="3">(1+VLOOKUP(U6,$O$5:$S$64,5,FALSE)/2)^2-1</f>
        <v>9.0177494284202631E-3</v>
      </c>
      <c r="W6" s="25">
        <f>((1+V6)^U6)/((1+V5)^U5)-1</f>
        <v>1.0513613159557789E-2</v>
      </c>
      <c r="Y6" s="22">
        <f t="shared" ref="Y6:Z34" si="4">V6-J6</f>
        <v>4.4517786352260558E-3</v>
      </c>
      <c r="Z6" s="25">
        <f t="shared" si="4"/>
        <v>5.6461179966178499E-3</v>
      </c>
      <c r="AA6" s="53"/>
    </row>
    <row r="7" spans="1:27" x14ac:dyDescent="0.3">
      <c r="A7" s="53"/>
      <c r="B7" s="65">
        <v>3</v>
      </c>
      <c r="C7" s="63">
        <v>1.5</v>
      </c>
      <c r="D7" s="12">
        <f>AVERAGE(D6,D8)</f>
        <v>4.4099999999999999E-3</v>
      </c>
      <c r="E7" s="10">
        <f t="shared" si="0"/>
        <v>0.99341357311209944</v>
      </c>
      <c r="F7" s="10">
        <f>D7/2*SUM($E$5:E6)</f>
        <v>4.3959499591884879E-3</v>
      </c>
      <c r="G7" s="18">
        <f t="shared" ref="G7:G64" si="5">(((1+D7/2)/(1-F7))^(1/B7)-1)*2</f>
        <v>4.4103310262340045E-3</v>
      </c>
      <c r="I7" s="17">
        <v>3</v>
      </c>
      <c r="J7" s="22">
        <f t="shared" si="1"/>
        <v>5.1402246110214822E-3</v>
      </c>
      <c r="K7" s="25">
        <f t="shared" ref="K7:K34" si="6">((1+J7)^I7)/((1+J6)^I6)-1</f>
        <v>6.2897172400764312E-3</v>
      </c>
      <c r="N7" s="4">
        <v>3</v>
      </c>
      <c r="O7" s="3">
        <v>1.5</v>
      </c>
      <c r="P7" s="12">
        <f>AVERAGE(P6,P8)</f>
        <v>8.2500000000000004E-3</v>
      </c>
      <c r="Q7" s="10">
        <f t="shared" si="2"/>
        <v>0.9877218837910533</v>
      </c>
      <c r="R7" s="10">
        <f>P7/2*SUM($Q$5:Q6)</f>
        <v>8.2037634383087272E-3</v>
      </c>
      <c r="S7" s="18">
        <f t="shared" ref="S7:S64" si="7">(((1+P7/2)/(1-R7))^(1/N7)-1)*2</f>
        <v>8.2530582084534565E-3</v>
      </c>
      <c r="U7" s="17">
        <v>3</v>
      </c>
      <c r="V7" s="22">
        <f t="shared" si="3"/>
        <v>1.0866077180656131E-2</v>
      </c>
      <c r="W7" s="25">
        <f t="shared" ref="W7:W34" si="8">((1+V7)^U7)/((1+V6)^U6)-1</f>
        <v>1.4572896237238009E-2</v>
      </c>
      <c r="Y7" s="22">
        <f t="shared" si="4"/>
        <v>5.7258525696346485E-3</v>
      </c>
      <c r="Z7" s="25">
        <f t="shared" si="4"/>
        <v>8.2831789971615777E-3</v>
      </c>
      <c r="AA7" s="53"/>
    </row>
    <row r="8" spans="1:27" x14ac:dyDescent="0.3">
      <c r="A8" s="53"/>
      <c r="B8" s="65">
        <v>4</v>
      </c>
      <c r="C8" s="63">
        <v>2</v>
      </c>
      <c r="D8" s="6">
        <f>VLOOKUP(C8,par_input_Liq,2,FALSE)</f>
        <v>4.5599999999999998E-3</v>
      </c>
      <c r="E8" s="10">
        <f t="shared" si="0"/>
        <v>0.99093022407576725</v>
      </c>
      <c r="F8" s="10">
        <f>D8/2*SUM($E$5:E7)</f>
        <v>6.8104550133394641E-3</v>
      </c>
      <c r="G8" s="18">
        <f t="shared" si="5"/>
        <v>4.5607706359955813E-3</v>
      </c>
      <c r="I8" s="17">
        <v>4</v>
      </c>
      <c r="J8" s="22">
        <f t="shared" si="1"/>
        <v>5.8479211722266555E-3</v>
      </c>
      <c r="K8" s="25">
        <f t="shared" si="6"/>
        <v>7.9740018985008376E-3</v>
      </c>
      <c r="N8" s="4">
        <v>4</v>
      </c>
      <c r="O8" s="3">
        <v>2</v>
      </c>
      <c r="P8" s="6">
        <f>(VLOOKUP(O8,par_input_Liq,2,FALSE)+VLOOKUP(O8,spread_input_Liq,2,FALSE))</f>
        <v>8.9899999999999997E-3</v>
      </c>
      <c r="Q8" s="10">
        <f t="shared" si="2"/>
        <v>0.98220555998140713</v>
      </c>
      <c r="R8" s="10">
        <f>P8/2*SUM($Q$5:Q7)</f>
        <v>1.3379426026476597E-2</v>
      </c>
      <c r="S8" s="18">
        <f t="shared" si="7"/>
        <v>8.9975106290403062E-3</v>
      </c>
      <c r="U8" s="17">
        <v>4</v>
      </c>
      <c r="V8" s="22">
        <f t="shared" si="3"/>
        <v>1.309061395654787E-2</v>
      </c>
      <c r="W8" s="25">
        <f t="shared" si="8"/>
        <v>1.9793639621789039E-2</v>
      </c>
      <c r="Y8" s="22">
        <f t="shared" si="4"/>
        <v>7.2426927843212141E-3</v>
      </c>
      <c r="Z8" s="25">
        <f t="shared" si="4"/>
        <v>1.1819637723288201E-2</v>
      </c>
      <c r="AA8" s="53"/>
    </row>
    <row r="9" spans="1:27" x14ac:dyDescent="0.3">
      <c r="A9" s="53"/>
      <c r="B9" s="65">
        <v>5</v>
      </c>
      <c r="C9" s="63">
        <v>2.5</v>
      </c>
      <c r="D9" s="12">
        <f>AVERAGE(D8,D10)</f>
        <v>4.8450000000000003E-3</v>
      </c>
      <c r="E9" s="10">
        <f t="shared" si="0"/>
        <v>0.98797000574159421</v>
      </c>
      <c r="F9" s="10">
        <f>D9/2*SUM($E$5:E8)</f>
        <v>9.6366369194967275E-3</v>
      </c>
      <c r="G9" s="18">
        <f t="shared" si="5"/>
        <v>4.8470400794791146E-3</v>
      </c>
      <c r="I9" s="17">
        <v>5</v>
      </c>
      <c r="J9" s="22">
        <f t="shared" si="1"/>
        <v>6.1612764103673445E-3</v>
      </c>
      <c r="K9" s="25">
        <f t="shared" si="6"/>
        <v>7.4156738733737182E-3</v>
      </c>
      <c r="N9" s="4">
        <v>5</v>
      </c>
      <c r="O9" s="3">
        <v>2.5</v>
      </c>
      <c r="P9" s="12">
        <f>AVERAGE(P8,P10)</f>
        <v>9.8999999999999991E-3</v>
      </c>
      <c r="Q9" s="10">
        <f t="shared" si="2"/>
        <v>0.97557524556182462</v>
      </c>
      <c r="R9" s="10">
        <f>P9/2*SUM($Q$5:Q8)</f>
        <v>1.9595656972644149E-2</v>
      </c>
      <c r="S9" s="18">
        <f t="shared" si="7"/>
        <v>9.9156939099906971E-3</v>
      </c>
      <c r="U9" s="17">
        <v>5</v>
      </c>
      <c r="V9" s="22">
        <f t="shared" si="3"/>
        <v>1.4576575540268921E-2</v>
      </c>
      <c r="W9" s="25">
        <f t="shared" si="8"/>
        <v>2.0542249369175591E-2</v>
      </c>
      <c r="Y9" s="22">
        <f t="shared" si="4"/>
        <v>8.4152991299015767E-3</v>
      </c>
      <c r="Z9" s="25">
        <f t="shared" si="4"/>
        <v>1.3126575495801873E-2</v>
      </c>
      <c r="AA9" s="53"/>
    </row>
    <row r="10" spans="1:27" x14ac:dyDescent="0.3">
      <c r="A10" s="53"/>
      <c r="B10" s="65">
        <v>6</v>
      </c>
      <c r="C10" s="63">
        <v>3</v>
      </c>
      <c r="D10" s="6">
        <f>VLOOKUP(C10,par_input_Liq,2,FALSE)</f>
        <v>5.13E-3</v>
      </c>
      <c r="E10" s="10">
        <f t="shared" si="0"/>
        <v>0.98473650987268835</v>
      </c>
      <c r="F10" s="10">
        <f>D10/2*SUM($E$5:E9)</f>
        <v>1.2737640979488431E-2</v>
      </c>
      <c r="G10" s="18">
        <f t="shared" si="5"/>
        <v>5.1336360562319605E-3</v>
      </c>
      <c r="I10" s="17">
        <v>6</v>
      </c>
      <c r="J10" s="22">
        <f t="shared" si="1"/>
        <v>6.4299147069000195E-3</v>
      </c>
      <c r="K10" s="25">
        <f t="shared" si="6"/>
        <v>7.7741824419268468E-3</v>
      </c>
      <c r="N10" s="4">
        <v>6</v>
      </c>
      <c r="O10" s="3">
        <v>3</v>
      </c>
      <c r="P10" s="6">
        <f>(VLOOKUP(O10,par_input_Liq,2,FALSE)+VLOOKUP(O10,spread_input_Liq,2,FALSE))</f>
        <v>1.081E-2</v>
      </c>
      <c r="Q10" s="10">
        <f t="shared" si="2"/>
        <v>0.96809757448097422</v>
      </c>
      <c r="R10" s="10">
        <f>P10/2*SUM($Q$5:Q9)</f>
        <v>2.6669858128956943E-2</v>
      </c>
      <c r="S10" s="18">
        <f t="shared" si="7"/>
        <v>1.0836718563350889E-2</v>
      </c>
      <c r="U10" s="17">
        <v>6</v>
      </c>
      <c r="V10" s="22">
        <f t="shared" si="3"/>
        <v>1.599986209108728E-2</v>
      </c>
      <c r="W10" s="25">
        <f t="shared" si="8"/>
        <v>2.3146300529798491E-2</v>
      </c>
      <c r="Y10" s="22">
        <f t="shared" si="4"/>
        <v>9.5699473841872607E-3</v>
      </c>
      <c r="Z10" s="25">
        <f t="shared" si="4"/>
        <v>1.5372118087871645E-2</v>
      </c>
      <c r="AA10" s="53"/>
    </row>
    <row r="11" spans="1:27" x14ac:dyDescent="0.3">
      <c r="A11" s="53"/>
      <c r="B11" s="65">
        <v>7</v>
      </c>
      <c r="C11" s="63">
        <v>3.5</v>
      </c>
      <c r="D11" s="12">
        <f>AVERAGE(D10,D12)</f>
        <v>5.4799999999999996E-3</v>
      </c>
      <c r="E11" s="10">
        <f t="shared" si="0"/>
        <v>0.98100718147331567</v>
      </c>
      <c r="F11" s="10">
        <f>D11/2*SUM($E$5:E10)</f>
        <v>1.6304858849448163E-2</v>
      </c>
      <c r="G11" s="18">
        <f t="shared" si="5"/>
        <v>5.4862248990712459E-3</v>
      </c>
      <c r="I11" s="17">
        <v>7</v>
      </c>
      <c r="J11" s="22">
        <f t="shared" si="1"/>
        <v>6.6996571431408025E-3</v>
      </c>
      <c r="K11" s="25">
        <f t="shared" si="6"/>
        <v>8.3196306575576973E-3</v>
      </c>
      <c r="N11" s="4">
        <v>7</v>
      </c>
      <c r="O11" s="3">
        <v>3.5</v>
      </c>
      <c r="P11" s="12">
        <f>AVERAGE(P10,P12)</f>
        <v>1.1894999999999999E-2</v>
      </c>
      <c r="Q11" s="10">
        <f t="shared" si="2"/>
        <v>0.95919074021881878</v>
      </c>
      <c r="R11" s="10">
        <f>P11/2*SUM($Q$5:Q10)</f>
        <v>3.5104472853730015E-2</v>
      </c>
      <c r="S11" s="18">
        <f t="shared" si="7"/>
        <v>1.1939878665711667E-2</v>
      </c>
      <c r="U11" s="17">
        <v>7</v>
      </c>
      <c r="V11" s="22">
        <f t="shared" si="3"/>
        <v>1.7441021383696187E-2</v>
      </c>
      <c r="W11" s="25">
        <f t="shared" si="8"/>
        <v>2.6131007657884009E-2</v>
      </c>
      <c r="Y11" s="22">
        <f t="shared" si="4"/>
        <v>1.0741364240555384E-2</v>
      </c>
      <c r="Z11" s="25">
        <f t="shared" si="4"/>
        <v>1.7811377000326312E-2</v>
      </c>
      <c r="AA11" s="53"/>
    </row>
    <row r="12" spans="1:27" x14ac:dyDescent="0.3">
      <c r="A12" s="53"/>
      <c r="B12" s="65">
        <v>8</v>
      </c>
      <c r="C12" s="63">
        <v>4</v>
      </c>
      <c r="D12" s="6">
        <f>VLOOKUP(C12,par_input_Liq,2,FALSE)</f>
        <v>5.8299999999999992E-3</v>
      </c>
      <c r="E12" s="10">
        <f t="shared" si="0"/>
        <v>0.9769463379193859</v>
      </c>
      <c r="F12" s="10">
        <f>D12/2*SUM($E$5:E11)</f>
        <v>2.0205863505579166E-2</v>
      </c>
      <c r="G12" s="18">
        <f t="shared" si="5"/>
        <v>5.8393965342555809E-3</v>
      </c>
      <c r="I12" s="17">
        <v>8</v>
      </c>
      <c r="J12" s="22">
        <f t="shared" si="1"/>
        <v>6.76944500168708E-3</v>
      </c>
      <c r="K12" s="25">
        <f t="shared" si="6"/>
        <v>7.2580954924093E-3</v>
      </c>
      <c r="N12" s="4">
        <v>8</v>
      </c>
      <c r="O12" s="3">
        <v>4</v>
      </c>
      <c r="P12" s="6">
        <f>(VLOOKUP(O12,par_input_Liq,2,FALSE)+VLOOKUP(O12,spread_input_Liq,2,FALSE))</f>
        <v>1.298E-2</v>
      </c>
      <c r="Q12" s="10">
        <f t="shared" si="2"/>
        <v>0.9493073273530247</v>
      </c>
      <c r="R12" s="10">
        <f>P12/2*SUM($Q$5:Q11)</f>
        <v>4.4531668092453569E-2</v>
      </c>
      <c r="S12" s="18">
        <f t="shared" si="7"/>
        <v>1.3048051047513276E-2</v>
      </c>
      <c r="U12" s="17">
        <v>8</v>
      </c>
      <c r="V12" s="22">
        <f t="shared" si="3"/>
        <v>1.8349842819776363E-2</v>
      </c>
      <c r="W12" s="25">
        <f t="shared" si="8"/>
        <v>2.4734363864062026E-2</v>
      </c>
      <c r="Y12" s="22">
        <f t="shared" si="4"/>
        <v>1.1580397818089283E-2</v>
      </c>
      <c r="Z12" s="25">
        <f t="shared" si="4"/>
        <v>1.7476268371652726E-2</v>
      </c>
      <c r="AA12" s="53"/>
    </row>
    <row r="13" spans="1:27" x14ac:dyDescent="0.3">
      <c r="A13" s="53"/>
      <c r="B13" s="65">
        <v>9</v>
      </c>
      <c r="C13" s="63">
        <v>4.5</v>
      </c>
      <c r="D13" s="12">
        <f>AVERAGE(D12,D14)</f>
        <v>5.984999999999999E-3</v>
      </c>
      <c r="E13" s="10">
        <f t="shared" si="0"/>
        <v>0.97342045822345291</v>
      </c>
      <c r="F13" s="10">
        <f>D13/2*SUM($E$5:E12)</f>
        <v>2.3666581055313177E-2</v>
      </c>
      <c r="G13" s="18">
        <f t="shared" si="5"/>
        <v>5.9954494392453483E-3</v>
      </c>
      <c r="I13" s="17">
        <v>9</v>
      </c>
      <c r="J13" s="22">
        <f t="shared" si="1"/>
        <v>7.2645813018876737E-3</v>
      </c>
      <c r="K13" s="25">
        <f t="shared" si="6"/>
        <v>1.123444818546071E-2</v>
      </c>
      <c r="N13" s="4">
        <v>9</v>
      </c>
      <c r="O13" s="3">
        <v>4.5</v>
      </c>
      <c r="P13" s="12">
        <f>AVERAGE(P12,P14)</f>
        <v>1.37E-2</v>
      </c>
      <c r="Q13" s="10">
        <f t="shared" si="2"/>
        <v>0.94005602338438143</v>
      </c>
      <c r="R13" s="10">
        <f>P13/2*SUM($Q$5:Q12)</f>
        <v>5.3504592855435545E-2</v>
      </c>
      <c r="S13" s="18">
        <f t="shared" si="7"/>
        <v>1.3784129236288134E-2</v>
      </c>
      <c r="U13" s="17">
        <v>9</v>
      </c>
      <c r="V13" s="22">
        <f t="shared" si="3"/>
        <v>1.9437903255254518E-2</v>
      </c>
      <c r="W13" s="25">
        <f t="shared" si="8"/>
        <v>2.8184342793978079E-2</v>
      </c>
      <c r="Y13" s="22">
        <f t="shared" si="4"/>
        <v>1.2173321953366845E-2</v>
      </c>
      <c r="Z13" s="25">
        <f t="shared" si="4"/>
        <v>1.6949894608517369E-2</v>
      </c>
      <c r="AA13" s="53"/>
    </row>
    <row r="14" spans="1:27" x14ac:dyDescent="0.3">
      <c r="A14" s="53"/>
      <c r="B14" s="65">
        <v>10</v>
      </c>
      <c r="C14" s="63">
        <v>5</v>
      </c>
      <c r="D14" s="6">
        <f>VLOOKUP(C14,par_input_Liq,2,FALSE)</f>
        <v>6.1399999999999996E-3</v>
      </c>
      <c r="E14" s="10">
        <f t="shared" si="0"/>
        <v>0.96975495146225243</v>
      </c>
      <c r="F14" s="10">
        <f>D14/2*SUM($E$5:E13)</f>
        <v>2.7267900836758185E-2</v>
      </c>
      <c r="G14" s="18">
        <f t="shared" si="5"/>
        <v>6.1518152027950634E-3</v>
      </c>
      <c r="I14" s="17">
        <v>10</v>
      </c>
      <c r="J14" s="22">
        <f t="shared" si="1"/>
        <v>7.8147374224597499E-3</v>
      </c>
      <c r="K14" s="25">
        <f t="shared" si="6"/>
        <v>1.2779684218678922E-2</v>
      </c>
      <c r="N14" s="4">
        <v>10</v>
      </c>
      <c r="O14" s="3">
        <v>5</v>
      </c>
      <c r="P14" s="6">
        <f>(VLOOKUP(O14,par_input_Liq,2,FALSE)+VLOOKUP(O14,spread_input_Liq,2,FALSE))</f>
        <v>1.4419999999999999E-2</v>
      </c>
      <c r="Q14" s="10">
        <f t="shared" si="2"/>
        <v>0.93019894858818131</v>
      </c>
      <c r="R14" s="10">
        <f>P14/2*SUM($Q$5:Q13)</f>
        <v>6.3094316992497776E-2</v>
      </c>
      <c r="S14" s="18">
        <f t="shared" si="7"/>
        <v>1.4523840057762971E-2</v>
      </c>
      <c r="U14" s="17">
        <v>10</v>
      </c>
      <c r="V14" s="22">
        <f t="shared" si="3"/>
        <v>2.0372753615330641E-2</v>
      </c>
      <c r="W14" s="25">
        <f t="shared" si="8"/>
        <v>2.8825079010318833E-2</v>
      </c>
      <c r="Y14" s="22">
        <f t="shared" si="4"/>
        <v>1.2558016192870891E-2</v>
      </c>
      <c r="Z14" s="25">
        <f t="shared" si="4"/>
        <v>1.6045394791639911E-2</v>
      </c>
      <c r="AA14" s="53"/>
    </row>
    <row r="15" spans="1:27" x14ac:dyDescent="0.3">
      <c r="A15" s="53"/>
      <c r="B15" s="65">
        <v>11</v>
      </c>
      <c r="C15" s="63">
        <v>5.5</v>
      </c>
      <c r="D15" s="12">
        <f>($D$18-$D$14)/($B$18-$B$14)+D14</f>
        <v>6.2725000000000003E-3</v>
      </c>
      <c r="E15" s="10">
        <f t="shared" si="0"/>
        <v>0.96607242458428932</v>
      </c>
      <c r="F15" s="10">
        <f>D15/2*SUM($E$5:E14)</f>
        <v>3.0897730774107488E-2</v>
      </c>
      <c r="G15" s="18">
        <f t="shared" si="5"/>
        <v>6.2855790055329486E-3</v>
      </c>
      <c r="I15" s="17">
        <v>11</v>
      </c>
      <c r="J15" s="22">
        <f t="shared" si="1"/>
        <v>8.4995556160289976E-3</v>
      </c>
      <c r="K15" s="25">
        <f t="shared" si="6"/>
        <v>1.5373383465899115E-2</v>
      </c>
      <c r="N15" s="4">
        <v>11</v>
      </c>
      <c r="O15" s="3">
        <v>5.5</v>
      </c>
      <c r="P15" s="12">
        <f>($P$18-$P$14)/($N$18-$N$14)+P14</f>
        <v>1.51025E-2</v>
      </c>
      <c r="Q15" s="10">
        <f t="shared" si="2"/>
        <v>0.91994849696038572</v>
      </c>
      <c r="R15" s="10">
        <f>P15/2*SUM($Q$5:Q14)</f>
        <v>7.3104741951941041E-2</v>
      </c>
      <c r="S15" s="18">
        <f t="shared" si="7"/>
        <v>1.5228152835853326E-2</v>
      </c>
      <c r="U15" s="17">
        <v>11</v>
      </c>
      <c r="V15" s="22">
        <f t="shared" si="3"/>
        <v>2.1444456717874205E-2</v>
      </c>
      <c r="W15" s="25">
        <f t="shared" si="8"/>
        <v>3.2223592084060781E-2</v>
      </c>
      <c r="Y15" s="22">
        <f t="shared" si="4"/>
        <v>1.2944901101845208E-2</v>
      </c>
      <c r="Z15" s="25">
        <f t="shared" si="4"/>
        <v>1.6850208618161666E-2</v>
      </c>
      <c r="AA15" s="53"/>
    </row>
    <row r="16" spans="1:27" x14ac:dyDescent="0.3">
      <c r="A16" s="53"/>
      <c r="B16" s="65">
        <v>12</v>
      </c>
      <c r="C16" s="63">
        <v>6</v>
      </c>
      <c r="D16" s="12">
        <f>($D$18-$D$14)/($B$18-$B$14)+D15</f>
        <v>6.405000000000001E-3</v>
      </c>
      <c r="E16" s="10">
        <f t="shared" si="0"/>
        <v>0.96227405738103911</v>
      </c>
      <c r="F16" s="10">
        <f>D16/2*SUM($E$5:E15)</f>
        <v>3.4644259950198861E-2</v>
      </c>
      <c r="G16" s="18">
        <f t="shared" si="5"/>
        <v>6.4196118528148105E-3</v>
      </c>
      <c r="I16" s="17">
        <v>12</v>
      </c>
      <c r="J16" s="22">
        <f t="shared" si="1"/>
        <v>9.1901077640226259E-3</v>
      </c>
      <c r="K16" s="25">
        <f t="shared" si="6"/>
        <v>1.6817460389976002E-2</v>
      </c>
      <c r="N16" s="4">
        <v>12</v>
      </c>
      <c r="O16" s="3">
        <v>6</v>
      </c>
      <c r="P16" s="12">
        <f>($P$18-$P$14)/($N$18-$N$14)+P15</f>
        <v>1.5785E-2</v>
      </c>
      <c r="Q16" s="10">
        <f t="shared" si="2"/>
        <v>0.90915536527524177</v>
      </c>
      <c r="R16" s="10">
        <f>P16/2*SUM($Q$5:Q15)</f>
        <v>8.3669126004323371E-2</v>
      </c>
      <c r="S16" s="18">
        <f t="shared" si="7"/>
        <v>1.5936370117953125E-2</v>
      </c>
      <c r="U16" s="17">
        <v>12</v>
      </c>
      <c r="V16" s="22">
        <f t="shared" si="3"/>
        <v>2.2534807106396437E-2</v>
      </c>
      <c r="W16" s="25">
        <f t="shared" si="8"/>
        <v>3.4605753078328805E-2</v>
      </c>
      <c r="Y16" s="22">
        <f t="shared" si="4"/>
        <v>1.3344699342373811E-2</v>
      </c>
      <c r="Z16" s="25">
        <f t="shared" si="4"/>
        <v>1.7788292688352803E-2</v>
      </c>
      <c r="AA16" s="53"/>
    </row>
    <row r="17" spans="1:27" x14ac:dyDescent="0.3">
      <c r="A17" s="53"/>
      <c r="B17" s="65">
        <v>13</v>
      </c>
      <c r="C17" s="63">
        <v>6.5</v>
      </c>
      <c r="D17" s="12">
        <f>($D$18-$D$14)/($B$18-$B$14)+D16</f>
        <v>6.5375000000000016E-3</v>
      </c>
      <c r="E17" s="10">
        <f t="shared" si="0"/>
        <v>0.95836097973773149</v>
      </c>
      <c r="F17" s="10">
        <f>D17/2*SUM($E$5:E16)</f>
        <v>3.8506377809752031E-2</v>
      </c>
      <c r="G17" s="18">
        <f t="shared" si="5"/>
        <v>6.553909864315699E-3</v>
      </c>
      <c r="I17" s="17">
        <v>13</v>
      </c>
      <c r="J17" s="22">
        <f t="shared" si="1"/>
        <v>9.8870364705685443E-3</v>
      </c>
      <c r="K17" s="25">
        <f t="shared" si="6"/>
        <v>1.828781652130651E-2</v>
      </c>
      <c r="N17" s="4">
        <v>13</v>
      </c>
      <c r="O17" s="3">
        <v>6.5</v>
      </c>
      <c r="P17" s="12">
        <f>($P$18-$P$14)/($N$18-$N$14)+P16</f>
        <v>1.6467500000000003E-2</v>
      </c>
      <c r="Q17" s="10">
        <f t="shared" si="2"/>
        <v>0.89783494456729995</v>
      </c>
      <c r="R17" s="10">
        <f>P17/2*SUM($Q$5:Q16)</f>
        <v>9.4772506957868624E-2</v>
      </c>
      <c r="S17" s="18">
        <f t="shared" si="7"/>
        <v>1.6648764076333311E-2</v>
      </c>
      <c r="U17" s="17">
        <v>13</v>
      </c>
      <c r="V17" s="22">
        <f t="shared" si="3"/>
        <v>2.3645772947507915E-2</v>
      </c>
      <c r="W17" s="25">
        <f t="shared" si="8"/>
        <v>3.7071888608775083E-2</v>
      </c>
      <c r="Y17" s="22">
        <f t="shared" si="4"/>
        <v>1.3758736476939371E-2</v>
      </c>
      <c r="Z17" s="25">
        <f t="shared" si="4"/>
        <v>1.8784072087468573E-2</v>
      </c>
      <c r="AA17" s="53"/>
    </row>
    <row r="18" spans="1:27" x14ac:dyDescent="0.3">
      <c r="A18" s="53"/>
      <c r="B18" s="65">
        <v>14</v>
      </c>
      <c r="C18" s="63">
        <v>7</v>
      </c>
      <c r="D18" s="6">
        <f>VLOOKUP(C18,par_input_Liq,2,FALSE)</f>
        <v>6.6700000000000006E-3</v>
      </c>
      <c r="E18" s="10">
        <f t="shared" si="0"/>
        <v>0.95433434808118245</v>
      </c>
      <c r="F18" s="10">
        <f>D18/2*SUM($E$5:E17)</f>
        <v>4.2482946867967747E-2</v>
      </c>
      <c r="G18" s="18">
        <f t="shared" si="5"/>
        <v>6.6884732246217382E-3</v>
      </c>
      <c r="I18" s="17">
        <v>14</v>
      </c>
      <c r="J18" s="22">
        <f t="shared" si="1"/>
        <v>1.0591018189858969E-2</v>
      </c>
      <c r="K18" s="25">
        <f t="shared" si="6"/>
        <v>1.9787562486437205E-2</v>
      </c>
      <c r="N18" s="4">
        <v>14</v>
      </c>
      <c r="O18" s="3">
        <v>7</v>
      </c>
      <c r="P18" s="6">
        <f>(VLOOKUP(O18,par_input_Liq,2,FALSE)+VLOOKUP(O18,spread_input_Liq,2,FALSE))</f>
        <v>1.7150000000000002E-2</v>
      </c>
      <c r="Q18" s="10">
        <f t="shared" si="2"/>
        <v>0.88600320864522353</v>
      </c>
      <c r="R18" s="10">
        <f>P18/2*SUM($Q$5:Q17)</f>
        <v>0.10639931384064361</v>
      </c>
      <c r="S18" s="18">
        <f t="shared" si="7"/>
        <v>1.736563010644776E-2</v>
      </c>
      <c r="U18" s="17">
        <v>14</v>
      </c>
      <c r="V18" s="22">
        <f t="shared" si="3"/>
        <v>2.4779570944320373E-2</v>
      </c>
      <c r="W18" s="25">
        <f t="shared" si="8"/>
        <v>3.9633730864095718E-2</v>
      </c>
      <c r="Y18" s="22">
        <f t="shared" si="4"/>
        <v>1.4188552754461403E-2</v>
      </c>
      <c r="Z18" s="25">
        <f t="shared" si="4"/>
        <v>1.9846168377658513E-2</v>
      </c>
      <c r="AA18" s="53"/>
    </row>
    <row r="19" spans="1:27" x14ac:dyDescent="0.3">
      <c r="A19" s="53"/>
      <c r="B19" s="65">
        <v>15</v>
      </c>
      <c r="C19" s="63">
        <v>7.5</v>
      </c>
      <c r="D19" s="12">
        <f>AVERAGE(D18,D20)</f>
        <v>6.7050000000000009E-3</v>
      </c>
      <c r="E19" s="10">
        <f t="shared" si="0"/>
        <v>0.95090680814672712</v>
      </c>
      <c r="F19" s="10">
        <f>D19/2*SUM($E$5:E18)</f>
        <v>4.5905276778962216E-2</v>
      </c>
      <c r="G19" s="18">
        <f t="shared" si="5"/>
        <v>6.7231702972079255E-3</v>
      </c>
      <c r="I19" s="17">
        <v>15</v>
      </c>
      <c r="J19" s="22">
        <f t="shared" si="1"/>
        <v>1.1302770569539655E-2</v>
      </c>
      <c r="K19" s="25">
        <f t="shared" si="6"/>
        <v>2.1320099510378165E-2</v>
      </c>
      <c r="N19" s="4">
        <v>15</v>
      </c>
      <c r="O19" s="3">
        <v>7.5</v>
      </c>
      <c r="P19" s="12">
        <f>AVERAGE(P18,P20)</f>
        <v>1.7579999999999998E-2</v>
      </c>
      <c r="Q19" s="10">
        <f t="shared" si="2"/>
        <v>0.87544977652169376</v>
      </c>
      <c r="R19" s="10">
        <f>P19/2*SUM($Q$5:Q18)</f>
        <v>0.1168550199426804</v>
      </c>
      <c r="S19" s="18">
        <f t="shared" si="7"/>
        <v>1.7814537346193315E-2</v>
      </c>
      <c r="U19" s="17">
        <v>15</v>
      </c>
      <c r="V19" s="22">
        <f t="shared" si="3"/>
        <v>2.5938697508564701E-2</v>
      </c>
      <c r="W19" s="25">
        <f t="shared" si="8"/>
        <v>4.2304810508509982E-2</v>
      </c>
      <c r="Y19" s="22">
        <f t="shared" si="4"/>
        <v>1.4635926939025046E-2</v>
      </c>
      <c r="Z19" s="25">
        <f t="shared" si="4"/>
        <v>2.0984710998131817E-2</v>
      </c>
      <c r="AA19" s="53"/>
    </row>
    <row r="20" spans="1:27" x14ac:dyDescent="0.3">
      <c r="A20" s="53"/>
      <c r="B20" s="65">
        <v>16</v>
      </c>
      <c r="C20" s="63">
        <v>8</v>
      </c>
      <c r="D20" s="6">
        <f>VLOOKUP(C20,par_input_Liq,2,FALSE)</f>
        <v>6.7400000000000003E-3</v>
      </c>
      <c r="E20" s="10">
        <f t="shared" si="0"/>
        <v>0.94745761027082676</v>
      </c>
      <c r="F20" s="10">
        <f>D20/2*SUM($E$5:E19)</f>
        <v>4.9349457582560402E-2</v>
      </c>
      <c r="G20" s="18">
        <f t="shared" si="5"/>
        <v>6.7580272685465737E-3</v>
      </c>
      <c r="I20" s="17">
        <v>16</v>
      </c>
      <c r="J20" s="22">
        <f t="shared" si="1"/>
        <v>1.1718161119753878E-2</v>
      </c>
      <c r="K20" s="25">
        <f t="shared" si="6"/>
        <v>1.7969533169962304E-2</v>
      </c>
      <c r="N20" s="4">
        <v>16</v>
      </c>
      <c r="O20" s="3">
        <v>8</v>
      </c>
      <c r="P20" s="6">
        <f>(VLOOKUP(O20,par_input_Liq,2,FALSE)+VLOOKUP(O20,spread_input_Liq,2,FALSE))</f>
        <v>1.8009999999999998E-2</v>
      </c>
      <c r="Q20" s="10">
        <f t="shared" si="2"/>
        <v>0.86461744612944191</v>
      </c>
      <c r="R20" s="10">
        <f>P20/2*SUM($Q$5:Q19)</f>
        <v>0.12759667376816228</v>
      </c>
      <c r="S20" s="18">
        <f t="shared" si="7"/>
        <v>1.8266427228849746E-2</v>
      </c>
      <c r="U20" s="17">
        <v>16</v>
      </c>
      <c r="V20" s="22">
        <f t="shared" si="3"/>
        <v>2.6470985452871965E-2</v>
      </c>
      <c r="W20" s="25">
        <f t="shared" si="8"/>
        <v>3.4488525036944884E-2</v>
      </c>
      <c r="Y20" s="22">
        <f t="shared" si="4"/>
        <v>1.4752824333118086E-2</v>
      </c>
      <c r="Z20" s="25">
        <f t="shared" si="4"/>
        <v>1.651899186698258E-2</v>
      </c>
      <c r="AA20" s="53"/>
    </row>
    <row r="21" spans="1:27" x14ac:dyDescent="0.3">
      <c r="A21" s="53"/>
      <c r="B21" s="65">
        <v>17</v>
      </c>
      <c r="C21" s="63">
        <v>8.5</v>
      </c>
      <c r="D21" s="12">
        <f>AVERAGE(D20,D22)</f>
        <v>6.9800000000000001E-3</v>
      </c>
      <c r="E21" s="10">
        <f t="shared" si="0"/>
        <v>0.94229804446729881</v>
      </c>
      <c r="F21" s="10">
        <f>D21/2*SUM($E$5:E20)</f>
        <v>5.4413335357511604E-2</v>
      </c>
      <c r="G21" s="18">
        <f t="shared" si="5"/>
        <v>7.0044321368238904E-3</v>
      </c>
      <c r="I21" s="17">
        <v>17</v>
      </c>
      <c r="J21" s="22">
        <f t="shared" si="1"/>
        <v>1.2137691484647606E-2</v>
      </c>
      <c r="K21" s="25">
        <f t="shared" si="6"/>
        <v>1.8873885981516736E-2</v>
      </c>
      <c r="N21" s="4">
        <v>17</v>
      </c>
      <c r="O21" s="3">
        <v>8.5</v>
      </c>
      <c r="P21" s="12">
        <f>AVERAGE(P20,P22)</f>
        <v>1.8514999999999997E-2</v>
      </c>
      <c r="Q21" s="10">
        <f t="shared" si="2"/>
        <v>0.85292536575228983</v>
      </c>
      <c r="R21" s="10">
        <f>P21/2*SUM($Q$5:Q20)</f>
        <v>0.13917867767425759</v>
      </c>
      <c r="S21" s="18">
        <f t="shared" si="7"/>
        <v>1.8803517203602294E-2</v>
      </c>
      <c r="U21" s="17">
        <v>17</v>
      </c>
      <c r="V21" s="22">
        <f t="shared" si="3"/>
        <v>2.7015953638010792E-2</v>
      </c>
      <c r="W21" s="25">
        <f t="shared" si="8"/>
        <v>3.5774898324652638E-2</v>
      </c>
      <c r="Y21" s="22">
        <f t="shared" si="4"/>
        <v>1.4878262153363186E-2</v>
      </c>
      <c r="Z21" s="25">
        <f t="shared" si="4"/>
        <v>1.6901012343135902E-2</v>
      </c>
      <c r="AA21" s="53"/>
    </row>
    <row r="22" spans="1:27" x14ac:dyDescent="0.3">
      <c r="A22" s="53"/>
      <c r="B22" s="65">
        <v>18</v>
      </c>
      <c r="C22" s="63">
        <v>9</v>
      </c>
      <c r="D22" s="6">
        <f>VLOOKUP(C22,par_input_Liq,2,FALSE)</f>
        <v>7.2199999999999999E-3</v>
      </c>
      <c r="E22" s="10">
        <f t="shared" si="0"/>
        <v>0.93693169963792877</v>
      </c>
      <c r="F22" s="10">
        <f>D22/2*SUM($E$5:E21)</f>
        <v>5.968597692637706E-2</v>
      </c>
      <c r="G22" s="18">
        <f t="shared" si="5"/>
        <v>7.2514354727837294E-3</v>
      </c>
      <c r="I22" s="17">
        <v>18</v>
      </c>
      <c r="J22" s="22">
        <f t="shared" si="1"/>
        <v>1.2561591749558954E-2</v>
      </c>
      <c r="K22" s="25">
        <f t="shared" si="6"/>
        <v>1.9795120114629583E-2</v>
      </c>
      <c r="N22" s="4">
        <v>18</v>
      </c>
      <c r="O22" s="3">
        <v>9</v>
      </c>
      <c r="P22" s="6">
        <f>(VLOOKUP(O22,par_input_Liq,2,FALSE)+VLOOKUP(O22,spread_input_Liq,2,FALSE))</f>
        <v>1.9019999999999999E-2</v>
      </c>
      <c r="Q22" s="10">
        <f t="shared" si="2"/>
        <v>0.84091675990702097</v>
      </c>
      <c r="R22" s="10">
        <f>P22/2*SUM($Q$5:Q21)</f>
        <v>0.15108612170626159</v>
      </c>
      <c r="S22" s="18">
        <f t="shared" si="7"/>
        <v>1.9344352264124787E-2</v>
      </c>
      <c r="U22" s="17">
        <v>18</v>
      </c>
      <c r="V22" s="22">
        <f t="shared" si="3"/>
        <v>2.7573860619587442E-2</v>
      </c>
      <c r="W22" s="25">
        <f t="shared" si="8"/>
        <v>3.7104784004094338E-2</v>
      </c>
      <c r="Y22" s="22">
        <f t="shared" si="4"/>
        <v>1.5012268870028489E-2</v>
      </c>
      <c r="Z22" s="25">
        <f t="shared" si="4"/>
        <v>1.7309663889464755E-2</v>
      </c>
      <c r="AA22" s="53"/>
    </row>
    <row r="23" spans="1:27" x14ac:dyDescent="0.3">
      <c r="A23" s="53"/>
      <c r="B23" s="65">
        <v>19</v>
      </c>
      <c r="C23" s="63">
        <v>9.5</v>
      </c>
      <c r="D23" s="12">
        <f>AVERAGE(D22,D24)</f>
        <v>7.4850000000000003E-3</v>
      </c>
      <c r="E23" s="10">
        <f t="shared" si="0"/>
        <v>0.93113210399966129</v>
      </c>
      <c r="F23" s="10">
        <f>D23/2*SUM($E$5:E22)</f>
        <v>6.5383134101121024E-2</v>
      </c>
      <c r="G23" s="18">
        <f t="shared" si="5"/>
        <v>7.525080988607602E-3</v>
      </c>
      <c r="I23" s="17">
        <v>19</v>
      </c>
      <c r="J23" s="22">
        <f t="shared" si="1"/>
        <v>1.299011858282384E-2</v>
      </c>
      <c r="K23" s="25">
        <f t="shared" si="6"/>
        <v>2.0734688146883951E-2</v>
      </c>
      <c r="N23" s="4">
        <v>19</v>
      </c>
      <c r="O23" s="3">
        <v>9.5</v>
      </c>
      <c r="P23" s="12">
        <f>AVERAGE(P22,P24)</f>
        <v>1.9449999999999999E-2</v>
      </c>
      <c r="Q23" s="10">
        <f t="shared" si="2"/>
        <v>0.82925572884620369</v>
      </c>
      <c r="R23" s="10">
        <f>P23/2*SUM($Q$5:Q22)</f>
        <v>0.1626797591907681</v>
      </c>
      <c r="S23" s="18">
        <f t="shared" si="7"/>
        <v>1.9805494687849645E-2</v>
      </c>
      <c r="U23" s="17">
        <v>19</v>
      </c>
      <c r="V23" s="22">
        <f t="shared" si="3"/>
        <v>2.8145136051706876E-2</v>
      </c>
      <c r="W23" s="25">
        <f t="shared" si="8"/>
        <v>3.8482574598792452E-2</v>
      </c>
      <c r="Y23" s="22">
        <f t="shared" si="4"/>
        <v>1.5155017468883036E-2</v>
      </c>
      <c r="Z23" s="25">
        <f t="shared" si="4"/>
        <v>1.7747886451908501E-2</v>
      </c>
      <c r="AA23" s="53"/>
    </row>
    <row r="24" spans="1:27" x14ac:dyDescent="0.3">
      <c r="A24" s="53"/>
      <c r="B24" s="65">
        <v>20</v>
      </c>
      <c r="C24" s="63">
        <v>10</v>
      </c>
      <c r="D24" s="6">
        <f>VLOOKUP(C24,par_input_Liq,2,FALSE)</f>
        <v>7.7499999999999999E-3</v>
      </c>
      <c r="E24" s="10">
        <f t="shared" si="0"/>
        <v>0.92510909750400061</v>
      </c>
      <c r="F24" s="10">
        <f>D24/2*SUM($E$5:E23)</f>
        <v>7.1306104743170756E-2</v>
      </c>
      <c r="G24" s="18">
        <f t="shared" si="5"/>
        <v>7.7995292582970777E-3</v>
      </c>
      <c r="I24" s="17">
        <v>20</v>
      </c>
      <c r="J24" s="22">
        <f t="shared" si="1"/>
        <v>1.3423554509838675E-2</v>
      </c>
      <c r="K24" s="25">
        <f t="shared" si="6"/>
        <v>2.1694164691957285E-2</v>
      </c>
      <c r="N24" s="4">
        <v>20</v>
      </c>
      <c r="O24" s="3">
        <v>10</v>
      </c>
      <c r="P24" s="6">
        <f>(VLOOKUP(O24,par_input_Liq,2,FALSE)+VLOOKUP(O24,spread_input_Liq,2,FALSE))</f>
        <v>1.9879999999999998E-2</v>
      </c>
      <c r="Q24" s="10">
        <f t="shared" si="2"/>
        <v>0.81735639717875386</v>
      </c>
      <c r="R24" s="10">
        <f>P24/2*SUM($Q$5:Q23)</f>
        <v>0.17451908023329013</v>
      </c>
      <c r="S24" s="18">
        <f t="shared" si="7"/>
        <v>2.0270035035248046E-2</v>
      </c>
      <c r="U24" s="17">
        <v>20</v>
      </c>
      <c r="V24" s="22">
        <f t="shared" si="3"/>
        <v>2.8730363926481317E-2</v>
      </c>
      <c r="W24" s="25">
        <f t="shared" si="8"/>
        <v>3.9913202281900206E-2</v>
      </c>
      <c r="Y24" s="22">
        <f t="shared" si="4"/>
        <v>1.5306809416642642E-2</v>
      </c>
      <c r="Z24" s="25">
        <f t="shared" si="4"/>
        <v>1.8219037589942921E-2</v>
      </c>
      <c r="AA24" s="53"/>
    </row>
    <row r="25" spans="1:27" x14ac:dyDescent="0.3">
      <c r="A25" s="53"/>
      <c r="B25" s="65">
        <v>21</v>
      </c>
      <c r="C25" s="63">
        <v>10.5</v>
      </c>
      <c r="D25" s="12">
        <f>($D$34-$D$24)/($B$34-$B$24)+D24</f>
        <v>8.0770000000000008E-3</v>
      </c>
      <c r="E25" s="10">
        <f t="shared" si="0"/>
        <v>0.91824086883698353</v>
      </c>
      <c r="F25" s="10">
        <f>D25/2*SUM($E$5:E24)</f>
        <v>7.8050815414217045E-2</v>
      </c>
      <c r="G25" s="18">
        <f t="shared" si="5"/>
        <v>8.1399043146452854E-3</v>
      </c>
      <c r="I25" s="17">
        <v>21</v>
      </c>
      <c r="J25" s="22">
        <f t="shared" si="1"/>
        <v>1.3531368646791497E-2</v>
      </c>
      <c r="K25" s="25">
        <f t="shared" si="6"/>
        <v>1.5690061692957613E-2</v>
      </c>
      <c r="N25" s="4">
        <v>21</v>
      </c>
      <c r="O25" s="3">
        <v>10.5</v>
      </c>
      <c r="P25" s="12">
        <f>($P$34-$P$24)/($N$34-$N$24)+P24</f>
        <v>2.0362999999999999E-2</v>
      </c>
      <c r="Q25" s="10">
        <f t="shared" si="2"/>
        <v>0.80472561550941979</v>
      </c>
      <c r="R25" s="10">
        <f>P25/2*SUM($Q$5:Q24)</f>
        <v>0.18708107063627019</v>
      </c>
      <c r="S25" s="18">
        <f t="shared" si="7"/>
        <v>2.0798246410958843E-2</v>
      </c>
      <c r="U25" s="17">
        <v>21</v>
      </c>
      <c r="V25" s="22">
        <f t="shared" si="3"/>
        <v>2.8825238823543486E-2</v>
      </c>
      <c r="W25" s="25">
        <f t="shared" si="8"/>
        <v>3.0724575308969104E-2</v>
      </c>
      <c r="Y25" s="22">
        <f t="shared" si="4"/>
        <v>1.5293870176751989E-2</v>
      </c>
      <c r="Z25" s="25">
        <f t="shared" si="4"/>
        <v>1.5034513616011491E-2</v>
      </c>
      <c r="AA25" s="53"/>
    </row>
    <row r="26" spans="1:27" x14ac:dyDescent="0.3">
      <c r="A26" s="53"/>
      <c r="B26" s="65">
        <v>22</v>
      </c>
      <c r="C26" s="63">
        <v>11</v>
      </c>
      <c r="D26" s="12">
        <f t="shared" ref="D26:D33" si="9">($D$34-$D$24)/($B$34-$B$24)+D25</f>
        <v>8.4040000000000017E-3</v>
      </c>
      <c r="E26" s="10">
        <f t="shared" si="0"/>
        <v>0.91110237137220562</v>
      </c>
      <c r="F26" s="10">
        <f>D26/2*SUM($E$5:E25)</f>
        <v>8.5069176463288321E-2</v>
      </c>
      <c r="G26" s="18">
        <f t="shared" si="5"/>
        <v>8.4815713528754166E-3</v>
      </c>
      <c r="I26" s="17">
        <v>22</v>
      </c>
      <c r="J26" s="22">
        <f t="shared" si="1"/>
        <v>1.3641218539176991E-2</v>
      </c>
      <c r="K26" s="25">
        <f t="shared" si="6"/>
        <v>1.5950818529441912E-2</v>
      </c>
      <c r="N26" s="4">
        <v>22</v>
      </c>
      <c r="O26" s="3">
        <v>11</v>
      </c>
      <c r="P26" s="12">
        <f t="shared" ref="P26:P33" si="10">($P$34-$P$24)/($N$34-$N$24)+P25</f>
        <v>2.0846E-2</v>
      </c>
      <c r="Q26" s="10">
        <f t="shared" si="2"/>
        <v>0.791840453412337</v>
      </c>
      <c r="R26" s="10">
        <f>P26/2*SUM($Q$5:Q25)</f>
        <v>0.19990619354174813</v>
      </c>
      <c r="S26" s="18">
        <f t="shared" si="7"/>
        <v>2.133070695309458E-2</v>
      </c>
      <c r="U26" s="17">
        <v>22</v>
      </c>
      <c r="V26" s="22">
        <f t="shared" si="3"/>
        <v>2.8927123870512883E-2</v>
      </c>
      <c r="W26" s="25">
        <f t="shared" si="8"/>
        <v>3.1069042122611856E-2</v>
      </c>
      <c r="Y26" s="22">
        <f t="shared" si="4"/>
        <v>1.5285905331335892E-2</v>
      </c>
      <c r="Z26" s="25">
        <f t="shared" si="4"/>
        <v>1.5118223593169944E-2</v>
      </c>
      <c r="AA26" s="53"/>
    </row>
    <row r="27" spans="1:27" x14ac:dyDescent="0.3">
      <c r="A27" s="53"/>
      <c r="B27" s="65">
        <v>23</v>
      </c>
      <c r="C27" s="63">
        <v>11.5</v>
      </c>
      <c r="D27" s="12">
        <f t="shared" si="9"/>
        <v>8.7310000000000026E-3</v>
      </c>
      <c r="E27" s="10">
        <f t="shared" si="0"/>
        <v>0.90369826605375569</v>
      </c>
      <c r="F27" s="10">
        <f>D27/2*SUM($E$5:E26)</f>
        <v>9.2356639165786819E-2</v>
      </c>
      <c r="G27" s="18">
        <f t="shared" si="5"/>
        <v>8.8246070655482178E-3</v>
      </c>
      <c r="I27" s="17">
        <v>23</v>
      </c>
      <c r="J27" s="22">
        <f t="shared" si="1"/>
        <v>1.3752976685896812E-2</v>
      </c>
      <c r="K27" s="25">
        <f t="shared" si="6"/>
        <v>1.6214775736163478E-2</v>
      </c>
      <c r="N27" s="4">
        <v>23</v>
      </c>
      <c r="O27" s="3">
        <v>11.5</v>
      </c>
      <c r="P27" s="12">
        <f t="shared" si="10"/>
        <v>2.1329000000000001E-2</v>
      </c>
      <c r="Q27" s="10">
        <f t="shared" si="2"/>
        <v>0.77871283189591545</v>
      </c>
      <c r="R27" s="10">
        <f>P27/2*SUM($Q$5:Q26)</f>
        <v>0.21298258510833279</v>
      </c>
      <c r="S27" s="18">
        <f t="shared" si="7"/>
        <v>2.1867635161145316E-2</v>
      </c>
      <c r="U27" s="17">
        <v>23</v>
      </c>
      <c r="V27" s="22">
        <f t="shared" si="3"/>
        <v>2.9035467013238891E-2</v>
      </c>
      <c r="W27" s="25">
        <f t="shared" si="8"/>
        <v>3.1421904563769143E-2</v>
      </c>
      <c r="Y27" s="22">
        <f t="shared" si="4"/>
        <v>1.528249032734208E-2</v>
      </c>
      <c r="Z27" s="25">
        <f t="shared" si="4"/>
        <v>1.5207128827605665E-2</v>
      </c>
      <c r="AA27" s="53"/>
    </row>
    <row r="28" spans="1:27" x14ac:dyDescent="0.3">
      <c r="A28" s="53"/>
      <c r="B28" s="65">
        <v>24</v>
      </c>
      <c r="C28" s="63">
        <v>12</v>
      </c>
      <c r="D28" s="12">
        <f t="shared" si="9"/>
        <v>9.0580000000000035E-3</v>
      </c>
      <c r="E28" s="10">
        <f t="shared" si="0"/>
        <v>0.89603336573584624</v>
      </c>
      <c r="F28" s="10">
        <f>D28/2*SUM($E$5:E27)</f>
        <v>9.9908499150736754E-2</v>
      </c>
      <c r="G28" s="18">
        <f t="shared" si="5"/>
        <v>9.1690897124836468E-3</v>
      </c>
      <c r="I28" s="17">
        <v>24</v>
      </c>
      <c r="J28" s="22">
        <f t="shared" si="1"/>
        <v>1.386654275115129E-2</v>
      </c>
      <c r="K28" s="25">
        <f t="shared" si="6"/>
        <v>1.6482076488156583E-2</v>
      </c>
      <c r="N28" s="4">
        <v>24</v>
      </c>
      <c r="O28" s="3">
        <v>12</v>
      </c>
      <c r="P28" s="12">
        <f t="shared" si="10"/>
        <v>2.1812000000000002E-2</v>
      </c>
      <c r="Q28" s="10">
        <f t="shared" si="2"/>
        <v>0.76535477504964888</v>
      </c>
      <c r="R28" s="10">
        <f>P28/2*SUM($Q$5:Q27)</f>
        <v>0.2262982657736575</v>
      </c>
      <c r="S28" s="18">
        <f t="shared" si="7"/>
        <v>2.2409263335585461E-2</v>
      </c>
      <c r="U28" s="17">
        <v>24</v>
      </c>
      <c r="V28" s="22">
        <f t="shared" si="3"/>
        <v>2.9149827321300892E-2</v>
      </c>
      <c r="W28" s="25">
        <f t="shared" si="8"/>
        <v>3.1783625023108719E-2</v>
      </c>
      <c r="Y28" s="22">
        <f t="shared" si="4"/>
        <v>1.5283284570149602E-2</v>
      </c>
      <c r="Z28" s="25">
        <f t="shared" si="4"/>
        <v>1.5301548534952136E-2</v>
      </c>
      <c r="AA28" s="53"/>
    </row>
    <row r="29" spans="1:27" x14ac:dyDescent="0.3">
      <c r="A29" s="53"/>
      <c r="B29" s="65">
        <v>25</v>
      </c>
      <c r="C29" s="63">
        <v>12.5</v>
      </c>
      <c r="D29" s="12">
        <f t="shared" si="9"/>
        <v>9.3850000000000044E-3</v>
      </c>
      <c r="E29" s="10">
        <f t="shared" si="0"/>
        <v>0.88811263055716583</v>
      </c>
      <c r="F29" s="10">
        <f>D29/2*SUM($E$5:E28)</f>
        <v>0.10771990092394448</v>
      </c>
      <c r="G29" s="18">
        <f t="shared" si="5"/>
        <v>9.5150993706525355E-3</v>
      </c>
      <c r="I29" s="17">
        <v>25</v>
      </c>
      <c r="J29" s="22">
        <f t="shared" si="1"/>
        <v>1.3981838406994296E-2</v>
      </c>
      <c r="K29" s="25">
        <f t="shared" si="6"/>
        <v>1.6752870962707833E-2</v>
      </c>
      <c r="N29" s="4">
        <v>25</v>
      </c>
      <c r="O29" s="3">
        <v>12.5</v>
      </c>
      <c r="P29" s="12">
        <f t="shared" si="10"/>
        <v>2.2295000000000002E-2</v>
      </c>
      <c r="Q29" s="10">
        <f t="shared" si="2"/>
        <v>0.7517783945486739</v>
      </c>
      <c r="R29" s="10">
        <f>P29/2*SUM($Q$5:Q28)</f>
        <v>0.23984115579809417</v>
      </c>
      <c r="S29" s="18">
        <f t="shared" si="7"/>
        <v>2.2955838061875955E-2</v>
      </c>
      <c r="U29" s="17">
        <v>25</v>
      </c>
      <c r="V29" s="22">
        <f t="shared" si="3"/>
        <v>2.9269854027033082E-2</v>
      </c>
      <c r="W29" s="25">
        <f t="shared" si="8"/>
        <v>3.2154698230058454E-2</v>
      </c>
      <c r="Y29" s="22">
        <f t="shared" si="4"/>
        <v>1.5288015620038786E-2</v>
      </c>
      <c r="Z29" s="25">
        <f t="shared" si="4"/>
        <v>1.5401827267350621E-2</v>
      </c>
      <c r="AA29" s="53"/>
    </row>
    <row r="30" spans="1:27" x14ac:dyDescent="0.3">
      <c r="A30" s="53"/>
      <c r="B30" s="65">
        <v>26</v>
      </c>
      <c r="C30" s="63">
        <v>13</v>
      </c>
      <c r="D30" s="12">
        <f t="shared" si="9"/>
        <v>9.7120000000000054E-3</v>
      </c>
      <c r="E30" s="10">
        <f t="shared" si="0"/>
        <v>0.87994116319381277</v>
      </c>
      <c r="F30" s="10">
        <f>D30/2*SUM($E$5:E29)</f>
        <v>0.11578584251772017</v>
      </c>
      <c r="G30" s="18">
        <f t="shared" si="5"/>
        <v>9.86271816815254E-3</v>
      </c>
      <c r="I30" s="17">
        <v>26</v>
      </c>
      <c r="J30" s="22">
        <f t="shared" si="1"/>
        <v>1.3926994380078161E-2</v>
      </c>
      <c r="K30" s="25">
        <f t="shared" si="6"/>
        <v>1.2556857367440832E-2</v>
      </c>
      <c r="N30" s="4">
        <v>26</v>
      </c>
      <c r="O30" s="3">
        <v>13</v>
      </c>
      <c r="P30" s="12">
        <f t="shared" si="10"/>
        <v>2.2778000000000003E-2</v>
      </c>
      <c r="Q30" s="10">
        <f t="shared" si="2"/>
        <v>0.73799587420730028</v>
      </c>
      <c r="R30" s="10">
        <f>P30/2*SUM($Q$5:Q29)</f>
        <v>0.25359909078135423</v>
      </c>
      <c r="S30" s="18">
        <f t="shared" si="7"/>
        <v>2.3507620887559533E-2</v>
      </c>
      <c r="U30" s="17">
        <v>26</v>
      </c>
      <c r="V30" s="22">
        <f t="shared" si="3"/>
        <v>2.92101745812825E-2</v>
      </c>
      <c r="W30" s="25">
        <f t="shared" si="8"/>
        <v>2.7719312530506635E-2</v>
      </c>
      <c r="Y30" s="22">
        <f t="shared" si="4"/>
        <v>1.5283180201204338E-2</v>
      </c>
      <c r="Z30" s="25">
        <f t="shared" si="4"/>
        <v>1.5162455163065802E-2</v>
      </c>
      <c r="AA30" s="53"/>
    </row>
    <row r="31" spans="1:27" x14ac:dyDescent="0.3">
      <c r="A31" s="53"/>
      <c r="B31" s="65">
        <v>27</v>
      </c>
      <c r="C31" s="63">
        <v>13.5</v>
      </c>
      <c r="D31" s="12">
        <f t="shared" si="9"/>
        <v>1.0039000000000006E-2</v>
      </c>
      <c r="E31" s="10">
        <f t="shared" si="0"/>
        <v>0.87152420399677988</v>
      </c>
      <c r="F31" s="10">
        <f>D31/2*SUM($E$5:E30)</f>
        <v>0.1241011802612577</v>
      </c>
      <c r="G31" s="18">
        <f t="shared" si="5"/>
        <v>1.0212030509337833E-2</v>
      </c>
      <c r="I31" s="17">
        <v>27</v>
      </c>
      <c r="J31" s="22">
        <f t="shared" si="1"/>
        <v>1.3873527472835878E-2</v>
      </c>
      <c r="K31" s="25">
        <f t="shared" si="6"/>
        <v>1.2484377074565955E-2</v>
      </c>
      <c r="N31" s="4">
        <v>27</v>
      </c>
      <c r="O31" s="3">
        <v>13.5</v>
      </c>
      <c r="P31" s="12">
        <f t="shared" si="10"/>
        <v>2.3261000000000004E-2</v>
      </c>
      <c r="Q31" s="10">
        <f t="shared" si="2"/>
        <v>0.72401945460684547</v>
      </c>
      <c r="R31" s="10">
        <f>P31/2*SUM($Q$5:Q30)</f>
        <v>0.26755983712635095</v>
      </c>
      <c r="S31" s="18">
        <f t="shared" si="7"/>
        <v>2.4064889175125614E-2</v>
      </c>
      <c r="U31" s="17">
        <v>27</v>
      </c>
      <c r="V31" s="22">
        <f t="shared" si="3"/>
        <v>2.9154684995551516E-2</v>
      </c>
      <c r="W31" s="25">
        <f t="shared" si="8"/>
        <v>2.7713005383667166E-2</v>
      </c>
      <c r="Y31" s="22">
        <f t="shared" si="4"/>
        <v>1.5281157522715638E-2</v>
      </c>
      <c r="Z31" s="25">
        <f t="shared" si="4"/>
        <v>1.5228628309101211E-2</v>
      </c>
      <c r="AA31" s="53"/>
    </row>
    <row r="32" spans="1:27" x14ac:dyDescent="0.3">
      <c r="A32" s="53"/>
      <c r="B32" s="65">
        <v>28</v>
      </c>
      <c r="C32" s="63">
        <v>14</v>
      </c>
      <c r="D32" s="12">
        <f t="shared" si="9"/>
        <v>1.0366000000000007E-2</v>
      </c>
      <c r="E32" s="10">
        <f t="shared" si="0"/>
        <v>0.86286712602019577</v>
      </c>
      <c r="F32" s="10">
        <f>D32/2*SUM($E$5:E31)</f>
        <v>0.1326606336656414</v>
      </c>
      <c r="G32" s="18">
        <f t="shared" si="5"/>
        <v>1.0563123296415178E-2</v>
      </c>
      <c r="I32" s="17">
        <v>28</v>
      </c>
      <c r="J32" s="22">
        <f t="shared" si="1"/>
        <v>1.3821273873644069E-2</v>
      </c>
      <c r="K32" s="25">
        <f t="shared" si="6"/>
        <v>1.2411444223703327E-2</v>
      </c>
      <c r="N32" s="4">
        <v>28</v>
      </c>
      <c r="O32" s="3">
        <v>14</v>
      </c>
      <c r="P32" s="12">
        <f t="shared" si="10"/>
        <v>2.3744000000000005E-2</v>
      </c>
      <c r="Q32" s="10">
        <f t="shared" si="2"/>
        <v>0.7098614178225171</v>
      </c>
      <c r="R32" s="10">
        <f>P32/2*SUM($Q$5:Q31)</f>
        <v>0.28171110742509325</v>
      </c>
      <c r="S32" s="18">
        <f t="shared" si="7"/>
        <v>2.4627937122591703E-2</v>
      </c>
      <c r="U32" s="17">
        <v>28</v>
      </c>
      <c r="V32" s="22">
        <f t="shared" si="3"/>
        <v>2.9102931848379088E-2</v>
      </c>
      <c r="W32" s="25">
        <f t="shared" si="8"/>
        <v>2.7706580195957731E-2</v>
      </c>
      <c r="Y32" s="22">
        <f t="shared" si="4"/>
        <v>1.5281657974735019E-2</v>
      </c>
      <c r="Z32" s="25">
        <f t="shared" si="4"/>
        <v>1.5295135972254403E-2</v>
      </c>
      <c r="AA32" s="53"/>
    </row>
    <row r="33" spans="1:27" x14ac:dyDescent="0.3">
      <c r="A33" s="53"/>
      <c r="B33" s="65">
        <v>29</v>
      </c>
      <c r="C33" s="63">
        <v>14.5</v>
      </c>
      <c r="D33" s="12">
        <f t="shared" si="9"/>
        <v>1.0693000000000008E-2</v>
      </c>
      <c r="E33" s="10">
        <f t="shared" si="0"/>
        <v>0.85397542994646203</v>
      </c>
      <c r="F33" s="10">
        <f>D33/2*SUM($E$5:E32)</f>
        <v>0.1414587904173302</v>
      </c>
      <c r="G33" s="18">
        <f t="shared" si="5"/>
        <v>1.0916086151667503E-2</v>
      </c>
      <c r="I33" s="17">
        <v>29</v>
      </c>
      <c r="J33" s="22">
        <f t="shared" si="1"/>
        <v>1.3770092406137246E-2</v>
      </c>
      <c r="K33" s="25">
        <f t="shared" si="6"/>
        <v>1.2338059874767104E-2</v>
      </c>
      <c r="N33" s="4">
        <v>29</v>
      </c>
      <c r="O33" s="3">
        <v>14.5</v>
      </c>
      <c r="P33" s="12">
        <f t="shared" si="10"/>
        <v>2.4227000000000005E-2</v>
      </c>
      <c r="Q33" s="10">
        <f t="shared" si="2"/>
        <v>0.69553407227369124</v>
      </c>
      <c r="R33" s="10">
        <f>P33/2*SUM($Q$5:Q32)</f>
        <v>0.29604057574182363</v>
      </c>
      <c r="S33" s="18">
        <f t="shared" si="7"/>
        <v>2.5197076950793651E-2</v>
      </c>
      <c r="U33" s="17">
        <v>29</v>
      </c>
      <c r="V33" s="22">
        <f t="shared" si="3"/>
        <v>2.9054524187377195E-2</v>
      </c>
      <c r="W33" s="25">
        <f t="shared" si="8"/>
        <v>2.7700033763587983E-2</v>
      </c>
      <c r="Y33" s="22">
        <f t="shared" si="4"/>
        <v>1.5284431781239949E-2</v>
      </c>
      <c r="Z33" s="25">
        <f t="shared" si="4"/>
        <v>1.5361973888820879E-2</v>
      </c>
      <c r="AA33" s="53"/>
    </row>
    <row r="34" spans="1:27" ht="15" thickBot="1" x14ac:dyDescent="0.35">
      <c r="A34" s="53"/>
      <c r="B34" s="65">
        <v>30</v>
      </c>
      <c r="C34" s="63">
        <v>15</v>
      </c>
      <c r="D34" s="6">
        <f>VLOOKUP(C34,par_input_Liq,2,FALSE)</f>
        <v>1.102E-2</v>
      </c>
      <c r="E34" s="10">
        <f t="shared" si="0"/>
        <v>0.84485473891471941</v>
      </c>
      <c r="F34" s="10">
        <f>D34/2*SUM($E$5:E33)</f>
        <v>0.15049011147386124</v>
      </c>
      <c r="G34" s="18">
        <f t="shared" si="5"/>
        <v>1.1271011643671613E-2</v>
      </c>
      <c r="I34" s="17">
        <v>30</v>
      </c>
      <c r="J34" s="23">
        <f t="shared" si="1"/>
        <v>1.3719860761480129E-2</v>
      </c>
      <c r="K34" s="26">
        <f t="shared" si="6"/>
        <v>1.226422525701798E-2</v>
      </c>
      <c r="N34" s="4">
        <v>30</v>
      </c>
      <c r="O34" s="3">
        <v>15</v>
      </c>
      <c r="P34" s="6">
        <f>(VLOOKUP(O34,par_input_Liq,2,FALSE)+VLOOKUP(O34,spread_input_Liq,2,FALSE))</f>
        <v>2.4709999999999999E-2</v>
      </c>
      <c r="Q34" s="10">
        <f t="shared" si="2"/>
        <v>0.68104973772134514</v>
      </c>
      <c r="R34" s="10">
        <f>P34/2*SUM($Q$5:Q33)</f>
        <v>0.31053589276910648</v>
      </c>
      <c r="S34" s="18">
        <f t="shared" si="7"/>
        <v>2.577264026204551E-2</v>
      </c>
      <c r="U34" s="17">
        <v>30</v>
      </c>
      <c r="V34" s="23">
        <f t="shared" si="3"/>
        <v>2.9009123108660662E-2</v>
      </c>
      <c r="W34" s="26">
        <f t="shared" si="8"/>
        <v>2.7693362798290044E-2</v>
      </c>
      <c r="Y34" s="23">
        <f t="shared" si="4"/>
        <v>1.5289262347180532E-2</v>
      </c>
      <c r="Z34" s="26">
        <f t="shared" si="4"/>
        <v>1.5429137541272064E-2</v>
      </c>
      <c r="AA34" s="53"/>
    </row>
    <row r="35" spans="1:27" x14ac:dyDescent="0.3">
      <c r="A35" s="53"/>
      <c r="B35" s="65">
        <v>31</v>
      </c>
      <c r="C35" s="63">
        <v>15.5</v>
      </c>
      <c r="D35" s="12">
        <f>($D$44-$D$34)/($B$44-$B$34)+D34</f>
        <v>1.1212E-2</v>
      </c>
      <c r="E35" s="10">
        <f t="shared" si="0"/>
        <v>0.83745688031442289</v>
      </c>
      <c r="F35" s="10">
        <f>D35/2*SUM($E$5:E34)</f>
        <v>0.15784833641453488</v>
      </c>
      <c r="G35" s="18">
        <f t="shared" si="5"/>
        <v>1.1477031105898927E-2</v>
      </c>
      <c r="N35" s="4">
        <v>31</v>
      </c>
      <c r="O35" s="3">
        <v>15.5</v>
      </c>
      <c r="P35" s="12">
        <f>($P$44-$P$34)/($N$44-$N$34)+P34</f>
        <v>2.4941999999999999E-2</v>
      </c>
      <c r="Q35" s="10">
        <f t="shared" si="2"/>
        <v>0.66970327246584116</v>
      </c>
      <c r="R35" s="10">
        <f>P35/2*SUM($Q$5:Q34)</f>
        <v>0.32194485802323675</v>
      </c>
      <c r="S35" s="18">
        <f t="shared" si="7"/>
        <v>2.6033825224835994E-2</v>
      </c>
      <c r="AA35" s="53"/>
    </row>
    <row r="36" spans="1:27" x14ac:dyDescent="0.3">
      <c r="A36" s="53"/>
      <c r="B36" s="65">
        <v>32</v>
      </c>
      <c r="C36" s="63">
        <v>16</v>
      </c>
      <c r="D36" s="12">
        <f t="shared" ref="D36:D43" si="11">($D$44-$D$34)/($B$44-$B$34)+D35</f>
        <v>1.1403999999999999E-2</v>
      </c>
      <c r="E36" s="10">
        <f t="shared" si="0"/>
        <v>0.82994108505766129</v>
      </c>
      <c r="F36" s="10">
        <f>D36/2*SUM($E$5:E35)</f>
        <v>0.16532659087534127</v>
      </c>
      <c r="G36" s="18">
        <f t="shared" si="5"/>
        <v>1.1684031968990816E-2</v>
      </c>
      <c r="N36" s="4">
        <v>32</v>
      </c>
      <c r="O36" s="3">
        <v>16</v>
      </c>
      <c r="P36" s="12">
        <f t="shared" ref="P36:P43" si="12">($P$44-$P$34)/($N$44-$N$34)+P35</f>
        <v>2.5173999999999998E-2</v>
      </c>
      <c r="Q36" s="10">
        <f t="shared" si="2"/>
        <v>0.65834441005232291</v>
      </c>
      <c r="R36" s="10">
        <f>P36/2*SUM($Q$5:Q35)</f>
        <v>0.33336900885834736</v>
      </c>
      <c r="S36" s="18">
        <f t="shared" si="7"/>
        <v>2.6298088093528182E-2</v>
      </c>
      <c r="AA36" s="53"/>
    </row>
    <row r="37" spans="1:27" x14ac:dyDescent="0.3">
      <c r="A37" s="53"/>
      <c r="B37" s="65">
        <v>33</v>
      </c>
      <c r="C37" s="63">
        <v>16.5</v>
      </c>
      <c r="D37" s="12">
        <f t="shared" si="11"/>
        <v>1.1595999999999999E-2</v>
      </c>
      <c r="E37" s="10">
        <f t="shared" si="0"/>
        <v>0.82231018507068809</v>
      </c>
      <c r="F37" s="10">
        <f>D37/2*SUM($E$5:E36)</f>
        <v>0.17292206047626932</v>
      </c>
      <c r="G37" s="18">
        <f t="shared" si="5"/>
        <v>1.1892039930528231E-2</v>
      </c>
      <c r="N37" s="4">
        <v>33</v>
      </c>
      <c r="O37" s="3">
        <v>16.5</v>
      </c>
      <c r="P37" s="12">
        <f t="shared" si="12"/>
        <v>2.5405999999999998E-2</v>
      </c>
      <c r="Q37" s="10">
        <f t="shared" si="2"/>
        <v>0.6469772092869982</v>
      </c>
      <c r="R37" s="10">
        <f>P37/2*SUM($Q$5:Q36)</f>
        <v>0.34480423922343112</v>
      </c>
      <c r="S37" s="18">
        <f t="shared" si="7"/>
        <v>2.6565441958199099E-2</v>
      </c>
      <c r="AA37" s="53"/>
    </row>
    <row r="38" spans="1:27" x14ac:dyDescent="0.3">
      <c r="A38" s="53"/>
      <c r="B38" s="65">
        <v>34</v>
      </c>
      <c r="C38" s="63">
        <v>17</v>
      </c>
      <c r="D38" s="12">
        <f t="shared" si="11"/>
        <v>1.1787999999999998E-2</v>
      </c>
      <c r="E38" s="10">
        <f t="shared" si="0"/>
        <v>0.81456703962743149</v>
      </c>
      <c r="F38" s="10">
        <f>D38/2*SUM($E$5:E37)</f>
        <v>0.1806319022410052</v>
      </c>
      <c r="G38" s="18">
        <f t="shared" si="5"/>
        <v>1.2101082435619137E-2</v>
      </c>
      <c r="N38" s="4">
        <v>34</v>
      </c>
      <c r="O38" s="3">
        <v>17</v>
      </c>
      <c r="P38" s="12">
        <f t="shared" si="12"/>
        <v>2.5637999999999998E-2</v>
      </c>
      <c r="Q38" s="10">
        <f t="shared" si="2"/>
        <v>0.63560568142477991</v>
      </c>
      <c r="R38" s="10">
        <f>P38/2*SUM($Q$5:Q37)</f>
        <v>0.35624648934503633</v>
      </c>
      <c r="S38" s="18">
        <f t="shared" si="7"/>
        <v>2.683591209353775E-2</v>
      </c>
      <c r="AA38" s="53"/>
    </row>
    <row r="39" spans="1:27" x14ac:dyDescent="0.3">
      <c r="A39" s="53"/>
      <c r="B39" s="65">
        <v>35</v>
      </c>
      <c r="C39" s="63">
        <v>17.5</v>
      </c>
      <c r="D39" s="12">
        <f t="shared" si="11"/>
        <v>1.1979999999999998E-2</v>
      </c>
      <c r="E39" s="10">
        <f t="shared" si="0"/>
        <v>0.80671453382233571</v>
      </c>
      <c r="F39" s="10">
        <f>D39/2*SUM($E$5:E38)</f>
        <v>0.18845324612006953</v>
      </c>
      <c r="G39" s="18">
        <f t="shared" si="5"/>
        <v>1.2311188606101808E-2</v>
      </c>
      <c r="N39" s="4">
        <v>35</v>
      </c>
      <c r="O39" s="3">
        <v>17.5</v>
      </c>
      <c r="P39" s="12">
        <f t="shared" si="12"/>
        <v>2.5869999999999997E-2</v>
      </c>
      <c r="Q39" s="10">
        <f t="shared" si="2"/>
        <v>0.62423378847971578</v>
      </c>
      <c r="R39" s="10">
        <f>P39/2*SUM($Q$5:Q38)</f>
        <v>0.36769174746629835</v>
      </c>
      <c r="S39" s="18">
        <f t="shared" si="7"/>
        <v>2.710953496856483E-2</v>
      </c>
      <c r="AA39" s="53"/>
    </row>
    <row r="40" spans="1:27" x14ac:dyDescent="0.3">
      <c r="A40" s="53"/>
      <c r="B40" s="65">
        <v>36</v>
      </c>
      <c r="C40" s="63">
        <v>18</v>
      </c>
      <c r="D40" s="12">
        <f t="shared" si="11"/>
        <v>1.2171999999999997E-2</v>
      </c>
      <c r="E40" s="10">
        <f t="shared" si="0"/>
        <v>0.79875557703773925</v>
      </c>
      <c r="F40" s="10">
        <f>D40/2*SUM($E$5:E39)</f>
        <v>0.19638319652041253</v>
      </c>
      <c r="G40" s="18">
        <f t="shared" si="5"/>
        <v>1.2522389191791383E-2</v>
      </c>
      <c r="N40" s="4">
        <v>36</v>
      </c>
      <c r="O40" s="3">
        <v>18</v>
      </c>
      <c r="P40" s="12">
        <f t="shared" si="12"/>
        <v>2.6101999999999997E-2</v>
      </c>
      <c r="Q40" s="10">
        <f t="shared" si="2"/>
        <v>0.61286544159097289</v>
      </c>
      <c r="R40" s="10">
        <f>P40/2*SUM($Q$5:Q39)</f>
        <v>0.37913605153082486</v>
      </c>
      <c r="S40" s="18">
        <f t="shared" si="7"/>
        <v>2.7386357475641443E-2</v>
      </c>
      <c r="AA40" s="53"/>
    </row>
    <row r="41" spans="1:27" x14ac:dyDescent="0.3">
      <c r="A41" s="53"/>
      <c r="B41" s="65">
        <v>37</v>
      </c>
      <c r="C41" s="63">
        <v>18.5</v>
      </c>
      <c r="D41" s="12">
        <f t="shared" si="11"/>
        <v>1.2363999999999997E-2</v>
      </c>
      <c r="E41" s="10">
        <f t="shared" si="0"/>
        <v>0.79069310140669702</v>
      </c>
      <c r="F41" s="10">
        <f>D41/2*SUM($E$5:E40)</f>
        <v>0.20441883384040704</v>
      </c>
      <c r="G41" s="18">
        <f t="shared" si="5"/>
        <v>1.27347165402516E-2</v>
      </c>
      <c r="N41" s="4">
        <v>37</v>
      </c>
      <c r="O41" s="3">
        <v>18.5</v>
      </c>
      <c r="P41" s="12">
        <f t="shared" si="12"/>
        <v>2.6333999999999996E-2</v>
      </c>
      <c r="Q41" s="10">
        <f t="shared" si="2"/>
        <v>0.60150449944501294</v>
      </c>
      <c r="R41" s="10">
        <f>P41/2*SUM($Q$5:Q40)</f>
        <v>0.39057549081079462</v>
      </c>
      <c r="S41" s="18">
        <f t="shared" si="7"/>
        <v>2.7666436341957201E-2</v>
      </c>
      <c r="AA41" s="53"/>
    </row>
    <row r="42" spans="1:27" x14ac:dyDescent="0.3">
      <c r="A42" s="53"/>
      <c r="B42" s="65">
        <v>38</v>
      </c>
      <c r="C42" s="63">
        <v>19</v>
      </c>
      <c r="D42" s="12">
        <f t="shared" si="11"/>
        <v>1.2555999999999996E-2</v>
      </c>
      <c r="E42" s="10">
        <f t="shared" si="0"/>
        <v>0.78253006027242811</v>
      </c>
      <c r="F42" s="10">
        <f>D42/2*SUM($E$5:E41)</f>
        <v>0.21255721600918112</v>
      </c>
      <c r="G42" s="18">
        <f t="shared" si="5"/>
        <v>1.2948204582347245E-2</v>
      </c>
      <c r="N42" s="4">
        <v>38</v>
      </c>
      <c r="O42" s="3">
        <v>19</v>
      </c>
      <c r="P42" s="12">
        <f t="shared" si="12"/>
        <v>2.6565999999999996E-2</v>
      </c>
      <c r="Q42" s="10">
        <f t="shared" si="2"/>
        <v>0.59015476675450962</v>
      </c>
      <c r="R42" s="10">
        <f>P42/2*SUM($Q$5:Q41)</f>
        <v>0.40200620747868865</v>
      </c>
      <c r="S42" s="18">
        <f t="shared" si="7"/>
        <v>2.7949837694913882E-2</v>
      </c>
      <c r="AA42" s="53"/>
    </row>
    <row r="43" spans="1:27" x14ac:dyDescent="0.3">
      <c r="A43" s="53"/>
      <c r="B43" s="65">
        <v>39</v>
      </c>
      <c r="C43" s="63">
        <v>19.5</v>
      </c>
      <c r="D43" s="12">
        <f t="shared" si="11"/>
        <v>1.2747999999999995E-2</v>
      </c>
      <c r="E43" s="10">
        <f t="shared" si="0"/>
        <v>0.77426942664532228</v>
      </c>
      <c r="F43" s="10">
        <f>D43/2*SUM($E$5:E42)</f>
        <v>0.22079538002923546</v>
      </c>
      <c r="G43" s="18">
        <f t="shared" si="5"/>
        <v>1.3162888831456776E-2</v>
      </c>
      <c r="N43" s="4">
        <v>39</v>
      </c>
      <c r="O43" s="3">
        <v>19.5</v>
      </c>
      <c r="P43" s="12">
        <f t="shared" si="12"/>
        <v>2.6797999999999995E-2</v>
      </c>
      <c r="Q43" s="10">
        <f t="shared" si="2"/>
        <v>0.57881999279441521</v>
      </c>
      <c r="R43" s="10">
        <f>P43/2*SUM($Q$5:Q42)</f>
        <v>0.41342439812213388</v>
      </c>
      <c r="S43" s="18">
        <f t="shared" si="7"/>
        <v>2.8236636759226386E-2</v>
      </c>
      <c r="AA43" s="53"/>
    </row>
    <row r="44" spans="1:27" x14ac:dyDescent="0.3">
      <c r="A44" s="53"/>
      <c r="B44" s="65">
        <v>40</v>
      </c>
      <c r="C44" s="63">
        <v>20</v>
      </c>
      <c r="D44" s="6">
        <f>VLOOKUP(C44,par_input_Liq,2,FALSE)</f>
        <v>1.294E-2</v>
      </c>
      <c r="E44" s="10">
        <f t="shared" si="0"/>
        <v>0.76591419165867747</v>
      </c>
      <c r="F44" s="10">
        <f>D44/2*SUM($E$5:E43)</f>
        <v>0.22913034352129483</v>
      </c>
      <c r="G44" s="18">
        <f t="shared" si="5"/>
        <v>1.3378806394702014E-2</v>
      </c>
      <c r="N44" s="4">
        <v>40</v>
      </c>
      <c r="O44" s="3">
        <v>20</v>
      </c>
      <c r="P44" s="6">
        <f>(VLOOKUP(O44,par_input_Liq,2,FALSE)+VLOOKUP(O44,spread_input_Liq,2,FALSE))</f>
        <v>2.7029999999999998E-2</v>
      </c>
      <c r="Q44" s="10">
        <f t="shared" si="2"/>
        <v>0.56750386999561342</v>
      </c>
      <c r="R44" s="10">
        <f>P44/2*SUM($Q$5:Q43)</f>
        <v>0.42482631520139552</v>
      </c>
      <c r="S44" s="18">
        <f t="shared" si="7"/>
        <v>2.8526917668564078E-2</v>
      </c>
      <c r="AA44" s="53"/>
    </row>
    <row r="45" spans="1:27" x14ac:dyDescent="0.3">
      <c r="A45" s="53"/>
      <c r="B45" s="65">
        <v>41</v>
      </c>
      <c r="C45" s="63">
        <v>20.5</v>
      </c>
      <c r="D45" s="12">
        <f>($D$54-$D$44)/($B$54-$B$44)+D44</f>
        <v>1.2994E-2</v>
      </c>
      <c r="E45" s="10">
        <f t="shared" si="0"/>
        <v>0.75999960915545506</v>
      </c>
      <c r="F45" s="10">
        <f>D45/2*SUM($E$5:E44)</f>
        <v>0.23506267338386372</v>
      </c>
      <c r="G45" s="18">
        <f t="shared" si="5"/>
        <v>1.3432092628414605E-2</v>
      </c>
      <c r="N45" s="4">
        <v>41</v>
      </c>
      <c r="O45" s="3">
        <v>20.5</v>
      </c>
      <c r="P45" s="12">
        <f>($P$54-$P$44)/($N$54-$N$44)+P44</f>
        <v>2.7087999999999997E-2</v>
      </c>
      <c r="Q45" s="10">
        <f t="shared" si="2"/>
        <v>0.55900467605198068</v>
      </c>
      <c r="R45" s="10">
        <f>P45/2*SUM($Q$5:Q44)</f>
        <v>0.43342416461556837</v>
      </c>
      <c r="S45" s="18">
        <f t="shared" si="7"/>
        <v>2.8572784556175623E-2</v>
      </c>
      <c r="AA45" s="53"/>
    </row>
    <row r="46" spans="1:27" x14ac:dyDescent="0.3">
      <c r="A46" s="53"/>
      <c r="B46" s="65">
        <v>42</v>
      </c>
      <c r="C46" s="63">
        <v>21</v>
      </c>
      <c r="D46" s="12">
        <f t="shared" ref="D46:D53" si="13">($D$54-$D$44)/($B$54-$B$44)+D45</f>
        <v>1.3048000000000001E-2</v>
      </c>
      <c r="E46" s="10">
        <f t="shared" si="0"/>
        <v>0.75408258931080574</v>
      </c>
      <c r="F46" s="10">
        <f>D46/2*SUM($E$5:E45)</f>
        <v>0.24099777587653115</v>
      </c>
      <c r="G46" s="18">
        <f t="shared" si="5"/>
        <v>1.3485901263568856E-2</v>
      </c>
      <c r="N46" s="4">
        <v>42</v>
      </c>
      <c r="O46" s="3">
        <v>21</v>
      </c>
      <c r="P46" s="12">
        <f t="shared" ref="P46:P53" si="14">($P$54-$P$44)/($N$54-$N$44)+P45</f>
        <v>2.7145999999999997E-2</v>
      </c>
      <c r="Q46" s="10">
        <f t="shared" si="2"/>
        <v>0.55058730876335116</v>
      </c>
      <c r="R46" s="10">
        <f>P46/2*SUM($Q$5:Q45)</f>
        <v>0.44193956969480414</v>
      </c>
      <c r="S46" s="18">
        <f t="shared" si="7"/>
        <v>2.8620456195336264E-2</v>
      </c>
      <c r="AA46" s="53"/>
    </row>
    <row r="47" spans="1:27" x14ac:dyDescent="0.3">
      <c r="A47" s="53"/>
      <c r="B47" s="65">
        <v>43</v>
      </c>
      <c r="C47" s="63">
        <v>21.5</v>
      </c>
      <c r="D47" s="12">
        <f t="shared" si="13"/>
        <v>1.3102000000000001E-2</v>
      </c>
      <c r="E47" s="10">
        <f t="shared" si="0"/>
        <v>0.74816362414711968</v>
      </c>
      <c r="F47" s="10">
        <f>D47/2*SUM($E$5:E46)</f>
        <v>0.24693515595109064</v>
      </c>
      <c r="G47" s="18">
        <f t="shared" si="5"/>
        <v>1.3540213454379835E-2</v>
      </c>
      <c r="N47" s="4">
        <v>43</v>
      </c>
      <c r="O47" s="3">
        <v>21.5</v>
      </c>
      <c r="P47" s="12">
        <f t="shared" si="14"/>
        <v>2.7203999999999996E-2</v>
      </c>
      <c r="Q47" s="10">
        <f t="shared" si="2"/>
        <v>0.54225139254323562</v>
      </c>
      <c r="R47" s="10">
        <f>P47/2*SUM($Q$5:Q46)</f>
        <v>0.45037290401539093</v>
      </c>
      <c r="S47" s="18">
        <f t="shared" si="7"/>
        <v>2.8669852363971682E-2</v>
      </c>
      <c r="AA47" s="53"/>
    </row>
    <row r="48" spans="1:27" x14ac:dyDescent="0.3">
      <c r="A48" s="53"/>
      <c r="B48" s="65">
        <v>44</v>
      </c>
      <c r="C48" s="63">
        <v>22</v>
      </c>
      <c r="D48" s="12">
        <f t="shared" si="13"/>
        <v>1.3156000000000001E-2</v>
      </c>
      <c r="E48" s="10">
        <f t="shared" si="0"/>
        <v>0.74224320268014299</v>
      </c>
      <c r="F48" s="10">
        <f>D48/2*SUM($E$5:E47)</f>
        <v>0.25287432153262618</v>
      </c>
      <c r="G48" s="18">
        <f t="shared" si="5"/>
        <v>1.3595012448309518E-2</v>
      </c>
      <c r="N48" s="4">
        <v>44</v>
      </c>
      <c r="O48" s="3">
        <v>22</v>
      </c>
      <c r="P48" s="12">
        <f t="shared" si="14"/>
        <v>2.7261999999999995E-2</v>
      </c>
      <c r="Q48" s="10">
        <f t="shared" si="2"/>
        <v>0.5339965475346673</v>
      </c>
      <c r="R48" s="10">
        <f>P48/2*SUM($Q$5:Q47)</f>
        <v>0.45872454552588959</v>
      </c>
      <c r="S48" s="18">
        <f t="shared" si="7"/>
        <v>2.872090132725047E-2</v>
      </c>
      <c r="AA48" s="53"/>
    </row>
    <row r="49" spans="1:27" x14ac:dyDescent="0.3">
      <c r="A49" s="53"/>
      <c r="B49" s="65">
        <v>45</v>
      </c>
      <c r="C49" s="63">
        <v>22.5</v>
      </c>
      <c r="D49" s="12">
        <f t="shared" si="13"/>
        <v>1.3210000000000001E-2</v>
      </c>
      <c r="E49" s="10">
        <f t="shared" si="0"/>
        <v>0.73632181087311044</v>
      </c>
      <c r="F49" s="10">
        <f>D49/2*SUM($E$5:E48)</f>
        <v>0.25881478356607635</v>
      </c>
      <c r="G49" s="18">
        <f t="shared" si="5"/>
        <v>1.3650283362201865E-2</v>
      </c>
      <c r="N49" s="4">
        <v>45</v>
      </c>
      <c r="O49" s="3">
        <v>22.5</v>
      </c>
      <c r="P49" s="12">
        <f t="shared" si="14"/>
        <v>2.7319999999999994E-2</v>
      </c>
      <c r="Q49" s="10">
        <f t="shared" si="2"/>
        <v>0.52582238972205719</v>
      </c>
      <c r="R49" s="10">
        <f>P49/2*SUM($Q$5:Q48)</f>
        <v>0.46699487643433873</v>
      </c>
      <c r="S49" s="18">
        <f t="shared" si="7"/>
        <v>2.8773538933313692E-2</v>
      </c>
      <c r="AA49" s="53"/>
    </row>
    <row r="50" spans="1:27" x14ac:dyDescent="0.3">
      <c r="A50" s="53"/>
      <c r="B50" s="65">
        <v>46</v>
      </c>
      <c r="C50" s="63">
        <v>23</v>
      </c>
      <c r="D50" s="12">
        <f t="shared" si="13"/>
        <v>1.3264000000000001E-2</v>
      </c>
      <c r="E50" s="10">
        <f t="shared" si="0"/>
        <v>0.73039993159167482</v>
      </c>
      <c r="F50" s="10">
        <f>D50/2*SUM($E$5:E49)</f>
        <v>0.26475605606200692</v>
      </c>
      <c r="G50" s="18">
        <f t="shared" si="5"/>
        <v>1.3706012987890759E-2</v>
      </c>
      <c r="N50" s="4">
        <v>46</v>
      </c>
      <c r="O50" s="3">
        <v>23</v>
      </c>
      <c r="P50" s="12">
        <f t="shared" si="14"/>
        <v>2.7377999999999993E-2</v>
      </c>
      <c r="Q50" s="10">
        <f t="shared" si="2"/>
        <v>0.51772853104231531</v>
      </c>
      <c r="R50" s="10">
        <f>P50/2*SUM($Q$5:Q49)</f>
        <v>0.47518428309624811</v>
      </c>
      <c r="S50" s="18">
        <f t="shared" si="7"/>
        <v>2.8827707828576354E-2</v>
      </c>
      <c r="AA50" s="53"/>
    </row>
    <row r="51" spans="1:27" x14ac:dyDescent="0.3">
      <c r="A51" s="53"/>
      <c r="B51" s="65">
        <v>47</v>
      </c>
      <c r="C51" s="63">
        <v>23.5</v>
      </c>
      <c r="D51" s="12">
        <f t="shared" si="13"/>
        <v>1.3318000000000002E-2</v>
      </c>
      <c r="E51" s="10">
        <f t="shared" si="0"/>
        <v>0.72447804455968534</v>
      </c>
      <c r="F51" s="10">
        <f>D51/2*SUM($E$5:E50)</f>
        <v>0.27069765614158964</v>
      </c>
      <c r="G51" s="18">
        <f t="shared" si="5"/>
        <v>1.3762189622901211E-2</v>
      </c>
      <c r="N51" s="4">
        <v>47</v>
      </c>
      <c r="O51" s="3">
        <v>23.5</v>
      </c>
      <c r="P51" s="12">
        <f t="shared" si="14"/>
        <v>2.7435999999999992E-2</v>
      </c>
      <c r="Q51" s="10">
        <f t="shared" si="2"/>
        <v>0.50971457949509491</v>
      </c>
      <c r="R51" s="10">
        <f>P51/2*SUM($Q$5:Q50)</f>
        <v>0.48329315590339261</v>
      </c>
      <c r="S51" s="18">
        <f t="shared" si="7"/>
        <v>2.8883356774874969E-2</v>
      </c>
      <c r="AA51" s="53"/>
    </row>
    <row r="52" spans="1:27" x14ac:dyDescent="0.3">
      <c r="A52" s="53"/>
      <c r="B52" s="65">
        <v>48</v>
      </c>
      <c r="C52" s="63">
        <v>24</v>
      </c>
      <c r="D52" s="12">
        <f t="shared" si="13"/>
        <v>1.3372000000000002E-2</v>
      </c>
      <c r="E52" s="10">
        <f t="shared" si="0"/>
        <v>0.71855662631566819</v>
      </c>
      <c r="F52" s="10">
        <f>D52/2*SUM($E$5:E51)</f>
        <v>0.27663910408078241</v>
      </c>
      <c r="G52" s="18">
        <f t="shared" si="5"/>
        <v>1.381880292259785E-2</v>
      </c>
      <c r="N52" s="4">
        <v>48</v>
      </c>
      <c r="O52" s="3">
        <v>24</v>
      </c>
      <c r="P52" s="12">
        <f t="shared" si="14"/>
        <v>2.7493999999999991E-2</v>
      </c>
      <c r="Q52" s="10">
        <f t="shared" si="2"/>
        <v>0.5017801392522776</v>
      </c>
      <c r="R52" s="10">
        <f>P52/2*SUM($Q$5:Q51)</f>
        <v>0.4913218891734179</v>
      </c>
      <c r="S52" s="18">
        <f t="shared" si="7"/>
        <v>2.8940440053675687E-2</v>
      </c>
      <c r="AA52" s="53"/>
    </row>
    <row r="53" spans="1:27" x14ac:dyDescent="0.3">
      <c r="A53" s="53"/>
      <c r="B53" s="65">
        <v>49</v>
      </c>
      <c r="C53" s="63">
        <v>24.5</v>
      </c>
      <c r="D53" s="12">
        <f t="shared" si="13"/>
        <v>1.3426000000000002E-2</v>
      </c>
      <c r="E53" s="10">
        <f t="shared" si="0"/>
        <v>0.71263615017019655</v>
      </c>
      <c r="F53" s="10">
        <f>D53/2*SUM($E$5:E52)</f>
        <v>0.28257992335370929</v>
      </c>
      <c r="G53" s="18">
        <f t="shared" si="5"/>
        <v>1.387584377072093E-2</v>
      </c>
      <c r="N53" s="4">
        <v>49</v>
      </c>
      <c r="O53" s="3">
        <v>24.5</v>
      </c>
      <c r="P53" s="12">
        <f t="shared" si="14"/>
        <v>2.755199999999999E-2</v>
      </c>
      <c r="Q53" s="10">
        <f t="shared" si="2"/>
        <v>0.49392481076661049</v>
      </c>
      <c r="R53" s="10">
        <f>P53/2*SUM($Q$5:Q52)</f>
        <v>0.49927088104026884</v>
      </c>
      <c r="S53" s="18">
        <f t="shared" si="7"/>
        <v>2.8998916944998676E-2</v>
      </c>
      <c r="AA53" s="53"/>
    </row>
    <row r="54" spans="1:27" x14ac:dyDescent="0.3">
      <c r="A54" s="53"/>
      <c r="B54" s="65">
        <v>50</v>
      </c>
      <c r="C54" s="63">
        <v>25</v>
      </c>
      <c r="D54" s="6">
        <f>VLOOKUP(C54,par_input_Liq,2,FALSE)</f>
        <v>1.3480000000000001E-2</v>
      </c>
      <c r="E54" s="10">
        <f t="shared" si="0"/>
        <v>0.70671708616402162</v>
      </c>
      <c r="F54" s="10">
        <f>D54/2*SUM($E$5:E53)</f>
        <v>0.28851964067523672</v>
      </c>
      <c r="G54" s="18">
        <f t="shared" si="5"/>
        <v>1.393330416575056E-2</v>
      </c>
      <c r="N54" s="4">
        <v>50</v>
      </c>
      <c r="O54" s="3">
        <v>25</v>
      </c>
      <c r="P54" s="6">
        <f>(VLOOKUP(O54,par_input_Liq,2,FALSE)+VLOOKUP(O54,spread_input_Liq,2,FALSE))</f>
        <v>2.7610000000000003E-2</v>
      </c>
      <c r="Q54" s="10">
        <f t="shared" si="2"/>
        <v>0.48614819087945976</v>
      </c>
      <c r="R54" s="10">
        <f>P54/2*SUM($Q$5:Q53)</f>
        <v>0.50714053334545206</v>
      </c>
      <c r="S54" s="18">
        <f t="shared" si="7"/>
        <v>2.9058751270680361E-2</v>
      </c>
      <c r="AA54" s="53"/>
    </row>
    <row r="55" spans="1:27" x14ac:dyDescent="0.3">
      <c r="A55" s="53"/>
      <c r="B55" s="65">
        <v>51</v>
      </c>
      <c r="C55" s="63">
        <v>25.5</v>
      </c>
      <c r="D55" s="12">
        <f>($D$64-$D$54)/($B$64-$B$54)+D54</f>
        <v>1.3465000000000001E-2</v>
      </c>
      <c r="E55" s="10">
        <f t="shared" si="0"/>
        <v>0.70231510312301304</v>
      </c>
      <c r="F55" s="10">
        <f>D55/2*SUM($E$5:E54)</f>
        <v>0.29295656044521518</v>
      </c>
      <c r="G55" s="18">
        <f t="shared" si="5"/>
        <v>1.3905889568774477E-2</v>
      </c>
      <c r="N55" s="4">
        <v>51</v>
      </c>
      <c r="O55" s="3">
        <v>25.5</v>
      </c>
      <c r="P55" s="12">
        <f>($P$64-$P$54)/($N$64-$N$54)+P54</f>
        <v>2.7609000000000002E-2</v>
      </c>
      <c r="Q55" s="10">
        <f t="shared" si="2"/>
        <v>0.47954689681835494</v>
      </c>
      <c r="R55" s="10">
        <f>P55/2*SUM($Q$5:Q54)</f>
        <v>0.51383319804451544</v>
      </c>
      <c r="S55" s="18">
        <f t="shared" si="7"/>
        <v>2.9028791769462714E-2</v>
      </c>
      <c r="AA55" s="53"/>
    </row>
    <row r="56" spans="1:27" x14ac:dyDescent="0.3">
      <c r="A56" s="53"/>
      <c r="B56" s="65">
        <v>52</v>
      </c>
      <c r="C56" s="63">
        <v>26</v>
      </c>
      <c r="D56" s="12">
        <f t="shared" ref="D56:D63" si="15">($D$64-$D$54)/($B$64-$B$54)+D55</f>
        <v>1.3450000000000002E-2</v>
      </c>
      <c r="E56" s="10">
        <f t="shared" si="0"/>
        <v>0.69795299001917199</v>
      </c>
      <c r="F56" s="10">
        <f>D56/2*SUM($E$5:E55)</f>
        <v>0.29735327612295043</v>
      </c>
      <c r="G56" s="18">
        <f t="shared" si="5"/>
        <v>1.3878838838203844E-2</v>
      </c>
      <c r="N56" s="4">
        <v>52</v>
      </c>
      <c r="O56" s="3">
        <v>26</v>
      </c>
      <c r="P56" s="12">
        <f t="shared" ref="P56:P63" si="16">($P$64-$P$54)/($N$64-$N$54)+P55</f>
        <v>2.7608000000000001E-2</v>
      </c>
      <c r="Q56" s="10">
        <f t="shared" si="2"/>
        <v>0.4730359592858473</v>
      </c>
      <c r="R56" s="10">
        <f>P56/2*SUM($Q$5:Q55)</f>
        <v>0.52043425233216845</v>
      </c>
      <c r="S56" s="18">
        <f t="shared" si="7"/>
        <v>2.8999925659222381E-2</v>
      </c>
      <c r="AA56" s="53"/>
    </row>
    <row r="57" spans="1:27" x14ac:dyDescent="0.3">
      <c r="A57" s="53"/>
      <c r="B57" s="65">
        <v>53</v>
      </c>
      <c r="C57" s="63">
        <v>26.5</v>
      </c>
      <c r="D57" s="12">
        <f t="shared" si="15"/>
        <v>1.3435000000000002E-2</v>
      </c>
      <c r="E57" s="10">
        <f t="shared" si="0"/>
        <v>0.69363038332067972</v>
      </c>
      <c r="F57" s="10">
        <f>D57/2*SUM($E$5:E56)</f>
        <v>0.30171015457936379</v>
      </c>
      <c r="G57" s="18">
        <f t="shared" si="5"/>
        <v>1.3852129234145139E-2</v>
      </c>
      <c r="N57" s="4">
        <v>53</v>
      </c>
      <c r="O57" s="3">
        <v>26.5</v>
      </c>
      <c r="P57" s="12">
        <f t="shared" si="16"/>
        <v>2.7607E-2</v>
      </c>
      <c r="Q57" s="10">
        <f t="shared" si="2"/>
        <v>0.46661413839398774</v>
      </c>
      <c r="R57" s="10">
        <f>P57/2*SUM($Q$5:Q56)</f>
        <v>0.52694495334669467</v>
      </c>
      <c r="S57" s="18">
        <f t="shared" si="7"/>
        <v>2.8972090490285041E-2</v>
      </c>
      <c r="AA57" s="53"/>
    </row>
    <row r="58" spans="1:27" x14ac:dyDescent="0.3">
      <c r="A58" s="53"/>
      <c r="B58" s="65">
        <v>54</v>
      </c>
      <c r="C58" s="63">
        <v>27</v>
      </c>
      <c r="D58" s="12">
        <f t="shared" si="15"/>
        <v>1.3420000000000003E-2</v>
      </c>
      <c r="E58" s="10">
        <f t="shared" si="0"/>
        <v>0.68934692309604906</v>
      </c>
      <c r="F58" s="10">
        <f>D58/2*SUM($E$5:E57)</f>
        <v>0.30602755904997997</v>
      </c>
      <c r="G58" s="18">
        <f t="shared" si="5"/>
        <v>1.3825739703250406E-2</v>
      </c>
      <c r="N58" s="4">
        <v>54</v>
      </c>
      <c r="O58" s="3">
        <v>27</v>
      </c>
      <c r="P58" s="12">
        <f t="shared" si="16"/>
        <v>2.7605999999999999E-2</v>
      </c>
      <c r="Q58" s="10">
        <f t="shared" si="2"/>
        <v>0.46028021131176883</v>
      </c>
      <c r="R58" s="10">
        <f>P58/2*SUM($Q$5:Q57)</f>
        <v>0.53336654093149116</v>
      </c>
      <c r="S58" s="18">
        <f t="shared" si="7"/>
        <v>2.8945228433287618E-2</v>
      </c>
      <c r="AA58" s="53"/>
    </row>
    <row r="59" spans="1:27" x14ac:dyDescent="0.3">
      <c r="A59" s="53"/>
      <c r="B59" s="65">
        <v>55</v>
      </c>
      <c r="C59" s="63">
        <v>27.5</v>
      </c>
      <c r="D59" s="12">
        <f t="shared" si="15"/>
        <v>1.3405000000000004E-2</v>
      </c>
      <c r="E59" s="10">
        <f t="shared" si="0"/>
        <v>0.68510225297673277</v>
      </c>
      <c r="F59" s="10">
        <f>D59/2*SUM($E$5:E58)</f>
        <v>0.31030584917269072</v>
      </c>
      <c r="G59" s="18">
        <f t="shared" si="5"/>
        <v>1.3799650725565105E-2</v>
      </c>
      <c r="N59" s="4">
        <v>55</v>
      </c>
      <c r="O59" s="3">
        <v>27.5</v>
      </c>
      <c r="P59" s="12">
        <f t="shared" si="16"/>
        <v>2.7604999999999998E-2</v>
      </c>
      <c r="Q59" s="10">
        <f t="shared" si="2"/>
        <v>0.4540329720299569</v>
      </c>
      <c r="R59" s="10">
        <f>P59/2*SUM($Q$5:Q58)</f>
        <v>0.53970023787359711</v>
      </c>
      <c r="S59" s="18">
        <f t="shared" si="7"/>
        <v>2.8919285858916677E-2</v>
      </c>
      <c r="AA59" s="53"/>
    </row>
    <row r="60" spans="1:27" x14ac:dyDescent="0.3">
      <c r="A60" s="53"/>
      <c r="B60" s="65">
        <v>56</v>
      </c>
      <c r="C60" s="63">
        <v>28</v>
      </c>
      <c r="D60" s="12">
        <f t="shared" si="15"/>
        <v>1.3390000000000004E-2</v>
      </c>
      <c r="E60" s="10">
        <f t="shared" si="0"/>
        <v>0.6808960201201858</v>
      </c>
      <c r="F60" s="10">
        <f>D60/2*SUM($E$5:E59)</f>
        <v>0.31454538102510621</v>
      </c>
      <c r="G60" s="18">
        <f t="shared" si="5"/>
        <v>1.3773844177785488E-2</v>
      </c>
      <c r="N60" s="4">
        <v>56</v>
      </c>
      <c r="O60" s="3">
        <v>28</v>
      </c>
      <c r="P60" s="12">
        <f t="shared" si="16"/>
        <v>2.7603999999999997E-2</v>
      </c>
      <c r="Q60" s="10">
        <f t="shared" si="2"/>
        <v>0.44787123112903005</v>
      </c>
      <c r="R60" s="10">
        <f>P60/2*SUM($Q$5:Q59)</f>
        <v>0.54594725013892409</v>
      </c>
      <c r="S60" s="18">
        <f t="shared" si="7"/>
        <v>2.8894212962695676E-2</v>
      </c>
      <c r="AA60" s="53"/>
    </row>
    <row r="61" spans="1:27" x14ac:dyDescent="0.3">
      <c r="A61" s="53"/>
      <c r="B61" s="65">
        <v>57</v>
      </c>
      <c r="C61" s="63">
        <v>28.5</v>
      </c>
      <c r="D61" s="12">
        <f t="shared" si="15"/>
        <v>1.3375000000000005E-2</v>
      </c>
      <c r="E61" s="10">
        <f t="shared" si="0"/>
        <v>0.67672787517328048</v>
      </c>
      <c r="F61" s="10">
        <f>D61/2*SUM($E$5:E60)</f>
        <v>0.31874650716149894</v>
      </c>
      <c r="G61" s="18">
        <f t="shared" si="5"/>
        <v>1.3748303210916024E-2</v>
      </c>
      <c r="N61" s="4">
        <v>57</v>
      </c>
      <c r="O61" s="3">
        <v>28.5</v>
      </c>
      <c r="P61" s="12">
        <f t="shared" si="16"/>
        <v>2.7602999999999996E-2</v>
      </c>
      <c r="Q61" s="10">
        <f t="shared" si="2"/>
        <v>0.4417938155504455</v>
      </c>
      <c r="R61" s="10">
        <f>P61/2*SUM($Q$5:Q60)</f>
        <v>0.55210876710423484</v>
      </c>
      <c r="S61" s="18">
        <f t="shared" si="7"/>
        <v>2.8869963429273948E-2</v>
      </c>
      <c r="AA61" s="53"/>
    </row>
    <row r="62" spans="1:27" x14ac:dyDescent="0.3">
      <c r="A62" s="53"/>
      <c r="B62" s="65">
        <v>58</v>
      </c>
      <c r="C62" s="63">
        <v>29</v>
      </c>
      <c r="D62" s="12">
        <f t="shared" si="15"/>
        <v>1.3360000000000006E-2</v>
      </c>
      <c r="E62" s="10">
        <f t="shared" si="0"/>
        <v>0.67259747223611965</v>
      </c>
      <c r="F62" s="10">
        <f>D62/2*SUM($E$5:E61)</f>
        <v>0.3229095766493445</v>
      </c>
      <c r="G62" s="18">
        <f t="shared" si="5"/>
        <v>1.3723012140584689E-2</v>
      </c>
      <c r="N62" s="4">
        <v>58</v>
      </c>
      <c r="O62" s="3">
        <v>29</v>
      </c>
      <c r="P62" s="12">
        <f t="shared" si="16"/>
        <v>2.7601999999999995E-2</v>
      </c>
      <c r="Q62" s="10">
        <f t="shared" si="2"/>
        <v>0.43579956837099637</v>
      </c>
      <c r="R62" s="10">
        <f>P62/2*SUM($Q$5:Q61)</f>
        <v>0.55818596178591451</v>
      </c>
      <c r="S62" s="18">
        <f t="shared" si="7"/>
        <v>2.8846494131458122E-2</v>
      </c>
      <c r="AA62" s="53"/>
    </row>
    <row r="63" spans="1:27" x14ac:dyDescent="0.3">
      <c r="A63" s="53"/>
      <c r="B63" s="65">
        <v>59</v>
      </c>
      <c r="C63" s="63">
        <v>29.5</v>
      </c>
      <c r="D63" s="12">
        <f t="shared" si="15"/>
        <v>1.3345000000000006E-2</v>
      </c>
      <c r="E63" s="10">
        <f t="shared" si="0"/>
        <v>0.66850446882629078</v>
      </c>
      <c r="F63" s="10">
        <f>D63/2*SUM($E$5:E62)</f>
        <v>0.32703493510546422</v>
      </c>
      <c r="G63" s="18">
        <f t="shared" si="5"/>
        <v>1.3697956348513785E-2</v>
      </c>
      <c r="N63" s="4">
        <v>59</v>
      </c>
      <c r="O63" s="3">
        <v>29.5</v>
      </c>
      <c r="P63" s="12">
        <f t="shared" si="16"/>
        <v>2.7600999999999994E-2</v>
      </c>
      <c r="Q63" s="10">
        <f t="shared" si="2"/>
        <v>0.42988734858034006</v>
      </c>
      <c r="R63" s="10">
        <f>P63/2*SUM($Q$5:Q62)</f>
        <v>0.56417999106557859</v>
      </c>
      <c r="S63" s="18">
        <f t="shared" si="7"/>
        <v>2.8823764859854606E-2</v>
      </c>
      <c r="AA63" s="53"/>
    </row>
    <row r="64" spans="1:27" ht="15" thickBot="1" x14ac:dyDescent="0.35">
      <c r="A64" s="53"/>
      <c r="B64" s="65">
        <v>60</v>
      </c>
      <c r="C64" s="63">
        <v>30</v>
      </c>
      <c r="D64" s="7">
        <f>VLOOKUP(C64,par_input_Liq,2,FALSE)</f>
        <v>1.333E-2</v>
      </c>
      <c r="E64" s="11">
        <f t="shared" si="0"/>
        <v>0.66444852584348157</v>
      </c>
      <c r="F64" s="11">
        <f>D64/2*SUM($E$5:E63)</f>
        <v>0.33112292473177379</v>
      </c>
      <c r="G64" s="19">
        <f t="shared" si="5"/>
        <v>1.3673122193848197E-2</v>
      </c>
      <c r="N64" s="4">
        <v>60</v>
      </c>
      <c r="O64" s="3">
        <v>30</v>
      </c>
      <c r="P64" s="7">
        <f>(VLOOKUP(O64,par_input_Liq,2,FALSE)+VLOOKUP(O64,spread_input_Liq,2,FALSE))</f>
        <v>2.76E-2</v>
      </c>
      <c r="Q64" s="11">
        <f t="shared" si="2"/>
        <v>0.42405603086154481</v>
      </c>
      <c r="R64" s="11">
        <f>P64/2*SUM($Q$5:Q63)</f>
        <v>0.57009199591256343</v>
      </c>
      <c r="S64" s="19">
        <f t="shared" si="7"/>
        <v>2.8801738079559769E-2</v>
      </c>
      <c r="AA64" s="53"/>
    </row>
    <row r="65" spans="1:27" x14ac:dyDescent="0.3">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row>
    <row r="66" spans="1:27" x14ac:dyDescent="0.3">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row>
  </sheetData>
  <sheetProtection sheet="1" objects="1" scenarios="1"/>
  <pageMargins left="0.7" right="0.7" top="0.75" bottom="0.75" header="0.3" footer="0.3"/>
  <pageSetup orientation="portrait" horizontalDpi="1200" verticalDpi="1200" r:id="rId1"/>
  <headerFooter>
    <oddHeader>&amp;C&amp;G</oddHeader>
  </headerFooter>
  <ignoredErrors>
    <ignoredError sqref="D7 D13 D19 D21 D23 P7 P11 P19 P21 P23 D9 D11 P9 P13" formula="1"/>
  </ignoredError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103"/>
  <sheetViews>
    <sheetView showGridLines="0" view="pageLayout" topLeftCell="G1" zoomScaleNormal="80" workbookViewId="0">
      <selection activeCell="V12" sqref="V12"/>
    </sheetView>
  </sheetViews>
  <sheetFormatPr defaultColWidth="9.21875" defaultRowHeight="14.4" x14ac:dyDescent="0.3"/>
  <cols>
    <col min="2" max="2" width="49.77734375" customWidth="1"/>
    <col min="3" max="3" width="13.21875" customWidth="1"/>
    <col min="4" max="4" width="2.77734375" customWidth="1"/>
    <col min="5" max="5" width="16.21875" customWidth="1"/>
    <col min="6" max="6" width="16.44140625" bestFit="1" customWidth="1"/>
    <col min="7" max="10" width="17.21875" customWidth="1"/>
    <col min="11" max="11" width="11.21875" customWidth="1"/>
    <col min="12" max="12" width="3.21875" customWidth="1"/>
    <col min="13" max="13" width="3" customWidth="1"/>
    <col min="14" max="14" width="6.33203125" customWidth="1"/>
    <col min="15" max="15" width="14" bestFit="1" customWidth="1"/>
    <col min="17" max="17" width="11.77734375" customWidth="1"/>
    <col min="19" max="20" width="14.5546875" customWidth="1"/>
    <col min="25" max="25" width="15.77734375" bestFit="1" customWidth="1"/>
    <col min="26" max="26" width="12.77734375" customWidth="1"/>
  </cols>
  <sheetData>
    <row r="1" spans="1:27" ht="18" x14ac:dyDescent="0.35">
      <c r="A1" s="2"/>
      <c r="B1" s="140"/>
      <c r="N1" s="2" t="s">
        <v>53</v>
      </c>
      <c r="X1" s="111"/>
      <c r="Y1" s="112" t="s">
        <v>63</v>
      </c>
      <c r="Z1" s="113" t="str">
        <f>IF(interest_type_IFRS17="Au comptant","au comptant","à terme")</f>
        <v>au comptant</v>
      </c>
      <c r="AA1" s="114"/>
    </row>
    <row r="2" spans="1:27" ht="15.6" x14ac:dyDescent="0.3">
      <c r="N2" s="51"/>
      <c r="O2" s="44"/>
      <c r="P2" s="44"/>
      <c r="Q2" s="44"/>
      <c r="R2" s="44"/>
      <c r="S2" s="109"/>
      <c r="X2" s="115"/>
      <c r="Y2" s="116" t="s">
        <v>64</v>
      </c>
      <c r="Z2" s="117" t="str">
        <f>IF(interest_type_IFRS17="Au comptant","à terme","au comptant")</f>
        <v>à terme</v>
      </c>
      <c r="AA2" s="118"/>
    </row>
    <row r="3" spans="1:27" ht="58.2" thickBot="1" x14ac:dyDescent="0.35">
      <c r="B3" s="1" t="s">
        <v>13</v>
      </c>
      <c r="C3" s="140"/>
      <c r="N3" s="39" t="s">
        <v>25</v>
      </c>
      <c r="O3" s="40" t="s">
        <v>26</v>
      </c>
      <c r="P3" s="40" t="s">
        <v>27</v>
      </c>
      <c r="Q3" s="40" t="s">
        <v>28</v>
      </c>
      <c r="R3" s="40" t="s">
        <v>29</v>
      </c>
      <c r="S3" s="40" t="str">
        <f>"Courbe d'actualisation " &amp; Z1&amp;" selon IFRS 17"</f>
        <v>Courbe d'actualisation au comptant selon IFRS 17</v>
      </c>
      <c r="T3" s="40" t="str">
        <f>"Courbe d'actualiation "&amp;Z2&amp;" selon IFRS 17"</f>
        <v>Courbe d'actualiation à terme selon IFRS 17</v>
      </c>
      <c r="U3" s="136"/>
    </row>
    <row r="4" spans="1:27" x14ac:dyDescent="0.3">
      <c r="B4" s="13" t="s">
        <v>14</v>
      </c>
      <c r="C4" s="98" t="s">
        <v>31</v>
      </c>
      <c r="N4">
        <v>1</v>
      </c>
      <c r="O4" s="36">
        <f t="array" aca="1" ref="O4:O33" ca="1">OFFSET('Courbe bootstrap IFRS 17'!J5,0,IF(interest_type_IFRS17="Au comptant",0,1),30,1)</f>
        <v>4.2645368999998379E-3</v>
      </c>
      <c r="P4" s="36">
        <f t="array" aca="1" ref="P4:P33" ca="1">OFFSET('Courbe bootstrap IFRS 17'!Y5,0,IF(interest_type_IFRS17="Au comptant",0,1),30,1)*liq_spread_ratio_IFRS17</f>
        <v>1.3450733686687588E-2</v>
      </c>
      <c r="Q4" s="36">
        <f t="shared" ref="Q4:Q33" si="0">liq_prem_add_IFRS17</f>
        <v>1.5E-3</v>
      </c>
      <c r="R4" s="37">
        <f t="shared" ref="R4:R33" ca="1" si="1">P4+Q4</f>
        <v>1.4950733686687588E-2</v>
      </c>
      <c r="S4" s="41">
        <f ca="1">O4+R4</f>
        <v>1.9215270586687427E-2</v>
      </c>
      <c r="T4" s="110">
        <f ca="1">S4</f>
        <v>1.9215270586687427E-2</v>
      </c>
      <c r="Y4" s="140"/>
    </row>
    <row r="5" spans="1:27" x14ac:dyDescent="0.3">
      <c r="B5" s="88" t="s">
        <v>15</v>
      </c>
      <c r="C5" s="47">
        <v>30</v>
      </c>
      <c r="N5">
        <v>2</v>
      </c>
      <c r="O5" s="36">
        <f ca="1"/>
        <v>4.5659707931942073E-3</v>
      </c>
      <c r="P5" s="36">
        <f ca="1"/>
        <v>1.3863097118329337E-2</v>
      </c>
      <c r="Q5" s="36">
        <f t="shared" si="0"/>
        <v>1.5E-3</v>
      </c>
      <c r="R5" s="37">
        <f t="shared" ca="1" si="1"/>
        <v>1.5363097118329337E-2</v>
      </c>
      <c r="S5" s="41">
        <f t="shared" ref="S5:S68" ca="1" si="2">O5+R5</f>
        <v>1.9929067911523546E-2</v>
      </c>
      <c r="T5" s="110">
        <f t="shared" ref="T5:T36" ca="1" si="3">IF($Z$2="À terme", ((1+S5)^N5)/((1+S4)^N4)-1,((((1+T4)^N4)*(1+S5))^(1/N5))-1)</f>
        <v>2.0643365137249736E-2</v>
      </c>
      <c r="U5" s="134"/>
    </row>
    <row r="6" spans="1:27" x14ac:dyDescent="0.3">
      <c r="B6" s="88" t="s">
        <v>42</v>
      </c>
      <c r="C6" s="99">
        <v>0.04</v>
      </c>
      <c r="N6">
        <v>3</v>
      </c>
      <c r="O6" s="36">
        <f ca="1"/>
        <v>5.1402246110214822E-3</v>
      </c>
      <c r="P6" s="36">
        <f ca="1"/>
        <v>1.4205572851769821E-2</v>
      </c>
      <c r="Q6" s="36">
        <f t="shared" si="0"/>
        <v>1.5E-3</v>
      </c>
      <c r="R6" s="37">
        <f t="shared" ca="1" si="1"/>
        <v>1.5705572851769822E-2</v>
      </c>
      <c r="S6" s="41">
        <f t="shared" ca="1" si="2"/>
        <v>2.0845797462791305E-2</v>
      </c>
      <c r="T6" s="110">
        <f t="shared" ca="1" si="3"/>
        <v>2.2681729222151059E-2</v>
      </c>
    </row>
    <row r="7" spans="1:27" x14ac:dyDescent="0.3">
      <c r="B7" s="145" t="s">
        <v>65</v>
      </c>
      <c r="C7" s="100">
        <v>80</v>
      </c>
      <c r="N7">
        <v>4</v>
      </c>
      <c r="O7" s="36">
        <f ca="1"/>
        <v>5.8479211722266555E-3</v>
      </c>
      <c r="P7" s="36">
        <f ca="1"/>
        <v>1.4421896327769856E-2</v>
      </c>
      <c r="Q7" s="36">
        <f t="shared" si="0"/>
        <v>1.5E-3</v>
      </c>
      <c r="R7" s="37">
        <f t="shared" ca="1" si="1"/>
        <v>1.5921896327769858E-2</v>
      </c>
      <c r="S7" s="41">
        <f t="shared" ca="1" si="2"/>
        <v>2.1769817499996513E-2</v>
      </c>
      <c r="T7" s="110">
        <f t="shared" ca="1" si="3"/>
        <v>2.4546898908861525E-2</v>
      </c>
    </row>
    <row r="8" spans="1:27" x14ac:dyDescent="0.3">
      <c r="B8" s="14" t="s">
        <v>16</v>
      </c>
      <c r="C8" s="101">
        <v>0.75</v>
      </c>
      <c r="N8">
        <v>5</v>
      </c>
      <c r="O8" s="36">
        <f ca="1"/>
        <v>6.1612764103673445E-3</v>
      </c>
      <c r="P8" s="36">
        <f ca="1"/>
        <v>1.4776396835930461E-2</v>
      </c>
      <c r="Q8" s="36">
        <f t="shared" si="0"/>
        <v>1.5E-3</v>
      </c>
      <c r="R8" s="37">
        <f t="shared" ca="1" si="1"/>
        <v>1.6276396835930462E-2</v>
      </c>
      <c r="S8" s="41">
        <f t="shared" ca="1" si="2"/>
        <v>2.2437673246297807E-2</v>
      </c>
      <c r="T8" s="110">
        <f t="shared" ca="1" si="3"/>
        <v>2.5113464367294336E-2</v>
      </c>
    </row>
    <row r="9" spans="1:27" x14ac:dyDescent="0.3">
      <c r="B9" s="14" t="s">
        <v>17</v>
      </c>
      <c r="C9" s="102">
        <v>1.5E-3</v>
      </c>
      <c r="N9">
        <v>6</v>
      </c>
      <c r="O9" s="36">
        <f ca="1"/>
        <v>6.4299147069000195E-3</v>
      </c>
      <c r="P9" s="36">
        <f ca="1"/>
        <v>1.5365955840727974E-2</v>
      </c>
      <c r="Q9" s="36">
        <f t="shared" si="0"/>
        <v>1.5E-3</v>
      </c>
      <c r="R9" s="37">
        <f t="shared" ca="1" si="1"/>
        <v>1.6865955840727975E-2</v>
      </c>
      <c r="S9" s="41">
        <f t="shared" ca="1" si="2"/>
        <v>2.3295870547627995E-2</v>
      </c>
      <c r="T9" s="110">
        <f t="shared" ca="1" si="3"/>
        <v>2.7597674252305193E-2</v>
      </c>
    </row>
    <row r="10" spans="1:27" x14ac:dyDescent="0.3">
      <c r="B10" s="105" t="s">
        <v>18</v>
      </c>
      <c r="C10" s="108">
        <v>1.4999999999999999E-2</v>
      </c>
      <c r="N10">
        <v>7</v>
      </c>
      <c r="O10" s="36">
        <f ca="1"/>
        <v>6.6996571431408025E-3</v>
      </c>
      <c r="P10" s="36">
        <f ca="1"/>
        <v>1.5965687434626397E-2</v>
      </c>
      <c r="Q10" s="36">
        <f t="shared" si="0"/>
        <v>1.5E-3</v>
      </c>
      <c r="R10" s="37">
        <f t="shared" ca="1" si="1"/>
        <v>1.7465687434626398E-2</v>
      </c>
      <c r="S10" s="41">
        <f t="shared" ca="1" si="2"/>
        <v>2.41653445777672E-2</v>
      </c>
      <c r="T10" s="110">
        <f t="shared" ca="1" si="3"/>
        <v>2.9397725016032439E-2</v>
      </c>
    </row>
    <row r="11" spans="1:27" ht="15" thickBot="1" x14ac:dyDescent="0.35">
      <c r="A11" t="s">
        <v>4</v>
      </c>
      <c r="B11" s="15" t="s">
        <v>43</v>
      </c>
      <c r="C11" s="107" t="s">
        <v>62</v>
      </c>
      <c r="N11">
        <v>8</v>
      </c>
      <c r="O11" s="36">
        <f ca="1"/>
        <v>6.76944500168708E-3</v>
      </c>
      <c r="P11" s="36">
        <f ca="1"/>
        <v>1.651493026709383E-2</v>
      </c>
      <c r="Q11" s="36">
        <f t="shared" si="0"/>
        <v>1.5E-3</v>
      </c>
      <c r="R11" s="37">
        <f t="shared" ca="1" si="1"/>
        <v>1.8014930267093832E-2</v>
      </c>
      <c r="S11" s="41">
        <f t="shared" ca="1" si="2"/>
        <v>2.4784375268780912E-2</v>
      </c>
      <c r="T11" s="110">
        <f t="shared" ca="1" si="3"/>
        <v>2.9128079185782862E-2</v>
      </c>
      <c r="V11" t="s">
        <v>69</v>
      </c>
    </row>
    <row r="12" spans="1:27" x14ac:dyDescent="0.3">
      <c r="B12" s="42" t="s">
        <v>49</v>
      </c>
      <c r="N12">
        <v>9</v>
      </c>
      <c r="O12" s="36">
        <f ca="1"/>
        <v>7.2645813018876737E-3</v>
      </c>
      <c r="P12" s="36">
        <f ca="1"/>
        <v>1.681006603311086E-2</v>
      </c>
      <c r="Q12" s="36">
        <f t="shared" si="0"/>
        <v>1.5E-3</v>
      </c>
      <c r="R12" s="37">
        <f t="shared" ca="1" si="1"/>
        <v>1.8310066033110861E-2</v>
      </c>
      <c r="S12" s="41">
        <f t="shared" ca="1" si="2"/>
        <v>2.5574647334998535E-2</v>
      </c>
      <c r="T12" s="110">
        <f t="shared" ca="1" si="3"/>
        <v>3.1918802712763705E-2</v>
      </c>
    </row>
    <row r="13" spans="1:27" x14ac:dyDescent="0.3">
      <c r="N13">
        <v>10</v>
      </c>
      <c r="O13" s="36">
        <f ca="1"/>
        <v>7.8147374224597499E-3</v>
      </c>
      <c r="P13" s="36">
        <f ca="1"/>
        <v>1.7008194567228574E-2</v>
      </c>
      <c r="Q13" s="36">
        <f t="shared" si="0"/>
        <v>1.5E-3</v>
      </c>
      <c r="R13" s="37">
        <f t="shared" ca="1" si="1"/>
        <v>1.8508194567228575E-2</v>
      </c>
      <c r="S13" s="41">
        <f t="shared" ca="1" si="2"/>
        <v>2.6322931989688325E-2</v>
      </c>
      <c r="T13" s="110">
        <f t="shared" ca="1" si="3"/>
        <v>3.3082110260592712E-2</v>
      </c>
    </row>
    <row r="14" spans="1:27" x14ac:dyDescent="0.3">
      <c r="N14">
        <v>11</v>
      </c>
      <c r="O14" s="36">
        <f ca="1"/>
        <v>8.4995556160289976E-3</v>
      </c>
      <c r="P14" s="36">
        <f ca="1"/>
        <v>1.7180316555087449E-2</v>
      </c>
      <c r="Q14" s="36">
        <f t="shared" si="0"/>
        <v>1.5E-3</v>
      </c>
      <c r="R14" s="37">
        <f t="shared" ca="1" si="1"/>
        <v>1.8680316555087451E-2</v>
      </c>
      <c r="S14" s="41">
        <f t="shared" ca="1" si="2"/>
        <v>2.7179872171116448E-2</v>
      </c>
      <c r="T14" s="110">
        <f t="shared" ca="1" si="3"/>
        <v>3.5788725890746997E-2</v>
      </c>
    </row>
    <row r="15" spans="1:27" ht="15" thickBot="1" x14ac:dyDescent="0.35">
      <c r="B15" s="1" t="s">
        <v>21</v>
      </c>
      <c r="N15">
        <v>12</v>
      </c>
      <c r="O15" s="36">
        <f ca="1"/>
        <v>9.1901077640226259E-3</v>
      </c>
      <c r="P15" s="36">
        <f ca="1"/>
        <v>1.7361909322990698E-2</v>
      </c>
      <c r="Q15" s="36">
        <f t="shared" si="0"/>
        <v>1.5E-3</v>
      </c>
      <c r="R15" s="37">
        <f t="shared" ca="1" si="1"/>
        <v>1.88619093229907E-2</v>
      </c>
      <c r="S15" s="41">
        <f t="shared" ca="1" si="2"/>
        <v>2.8052017087013326E-2</v>
      </c>
      <c r="T15" s="110">
        <f t="shared" ca="1" si="3"/>
        <v>3.7694623396211435E-2</v>
      </c>
    </row>
    <row r="16" spans="1:27" ht="43.8" thickBot="1" x14ac:dyDescent="0.35">
      <c r="B16" s="91" t="s">
        <v>7</v>
      </c>
      <c r="C16" s="92" t="s">
        <v>12</v>
      </c>
      <c r="D16" s="93"/>
      <c r="E16" s="97" t="s">
        <v>9</v>
      </c>
      <c r="F16" s="74" t="s">
        <v>54</v>
      </c>
      <c r="G16" s="103">
        <v>0.1</v>
      </c>
      <c r="H16" s="104">
        <v>0.2</v>
      </c>
      <c r="I16" s="104">
        <v>0.3</v>
      </c>
      <c r="J16" s="104">
        <v>0.4</v>
      </c>
      <c r="K16" s="27">
        <f>SUM(G16:J16)</f>
        <v>1</v>
      </c>
      <c r="N16">
        <v>13</v>
      </c>
      <c r="O16" s="36">
        <f ca="1"/>
        <v>9.8870364705685443E-3</v>
      </c>
      <c r="P16" s="36">
        <f ca="1"/>
        <v>1.755382077863038E-2</v>
      </c>
      <c r="Q16" s="36">
        <f t="shared" si="0"/>
        <v>1.5E-3</v>
      </c>
      <c r="R16" s="37">
        <f t="shared" ca="1" si="1"/>
        <v>1.9053820778630381E-2</v>
      </c>
      <c r="S16" s="41">
        <f t="shared" ca="1" si="2"/>
        <v>2.8940857249198926E-2</v>
      </c>
      <c r="T16" s="110">
        <f t="shared" ca="1" si="3"/>
        <v>3.9667071026080469E-2</v>
      </c>
    </row>
    <row r="17" spans="2:20" ht="43.2" x14ac:dyDescent="0.3">
      <c r="B17" s="1">
        <v>0.5</v>
      </c>
      <c r="C17" s="129">
        <f>'Données d''entrée des courbes'!C18</f>
        <v>4.2599999999999999E-3</v>
      </c>
      <c r="E17" s="92" t="s">
        <v>7</v>
      </c>
      <c r="F17" s="135" t="s">
        <v>50</v>
      </c>
      <c r="G17" s="89" t="s">
        <v>10</v>
      </c>
      <c r="H17" s="89" t="s">
        <v>11</v>
      </c>
      <c r="I17" s="89" t="s">
        <v>68</v>
      </c>
      <c r="J17" s="89" t="s">
        <v>51</v>
      </c>
      <c r="N17">
        <v>14</v>
      </c>
      <c r="O17" s="36">
        <f ca="1"/>
        <v>1.0591018189858969E-2</v>
      </c>
      <c r="P17" s="36">
        <f ca="1"/>
        <v>1.7757031402732937E-2</v>
      </c>
      <c r="Q17" s="36">
        <f t="shared" si="0"/>
        <v>1.5E-3</v>
      </c>
      <c r="R17" s="37">
        <f t="shared" ca="1" si="1"/>
        <v>1.9257031402732938E-2</v>
      </c>
      <c r="S17" s="41">
        <f t="shared" ca="1" si="2"/>
        <v>2.9848049592591908E-2</v>
      </c>
      <c r="T17" s="110">
        <f t="shared" ca="1" si="3"/>
        <v>4.1714593690850732E-2</v>
      </c>
    </row>
    <row r="18" spans="2:20" x14ac:dyDescent="0.3">
      <c r="B18" s="1">
        <v>1</v>
      </c>
      <c r="C18" s="129">
        <f>'Données d''entrée des courbes'!C19</f>
        <v>4.2599999999999999E-3</v>
      </c>
      <c r="E18" s="1">
        <v>1</v>
      </c>
      <c r="F18" s="16">
        <f t="shared" ref="F18:F30" si="4">SUMPRODUCT($G$16:$J$16,$G18:$J18)</f>
        <v>1.7817E-2</v>
      </c>
      <c r="G18" s="132">
        <v>3.2500000000000003E-3</v>
      </c>
      <c r="H18" s="132">
        <v>2.1970000000000003E-2</v>
      </c>
      <c r="I18" s="132">
        <v>1.8539999999999997E-2</v>
      </c>
      <c r="J18" s="132">
        <v>1.8839999999999999E-2</v>
      </c>
      <c r="K18" s="16">
        <f>G18-'Données d''entrée des courbes'!F19</f>
        <v>0</v>
      </c>
      <c r="N18">
        <v>15</v>
      </c>
      <c r="O18" s="36">
        <f ca="1"/>
        <v>1.1302770569539655E-2</v>
      </c>
      <c r="P18" s="36">
        <f ca="1"/>
        <v>1.7972671868255297E-2</v>
      </c>
      <c r="Q18" s="36">
        <f t="shared" si="0"/>
        <v>1.5E-3</v>
      </c>
      <c r="R18" s="37">
        <f t="shared" ca="1" si="1"/>
        <v>1.9472671868255298E-2</v>
      </c>
      <c r="S18" s="41">
        <f t="shared" ca="1" si="2"/>
        <v>3.0775442437794953E-2</v>
      </c>
      <c r="T18" s="110">
        <f t="shared" ca="1" si="3"/>
        <v>4.3846974077949019E-2</v>
      </c>
    </row>
    <row r="19" spans="2:20" x14ac:dyDescent="0.3">
      <c r="B19" s="1">
        <v>2</v>
      </c>
      <c r="C19" s="129">
        <f>'Données d''entrée des courbes'!C20</f>
        <v>4.5599999999999998E-3</v>
      </c>
      <c r="E19" s="1">
        <v>2</v>
      </c>
      <c r="F19" s="16">
        <f t="shared" si="4"/>
        <v>1.8348E-2</v>
      </c>
      <c r="G19" s="132">
        <v>4.4299999999999999E-3</v>
      </c>
      <c r="H19" s="132">
        <v>2.2435000000000004E-2</v>
      </c>
      <c r="I19" s="132">
        <v>1.8939999999999999E-2</v>
      </c>
      <c r="J19" s="132">
        <v>1.9339999999999996E-2</v>
      </c>
      <c r="K19" s="28"/>
      <c r="N19">
        <v>16</v>
      </c>
      <c r="O19" s="36">
        <f ca="1"/>
        <v>1.1718161119753878E-2</v>
      </c>
      <c r="P19" s="36">
        <f ca="1"/>
        <v>1.8077461722882215E-2</v>
      </c>
      <c r="Q19" s="36">
        <f t="shared" si="0"/>
        <v>1.5E-3</v>
      </c>
      <c r="R19" s="37">
        <f t="shared" ca="1" si="1"/>
        <v>1.9577461722882217E-2</v>
      </c>
      <c r="S19" s="41">
        <f t="shared" ca="1" si="2"/>
        <v>3.1295622842636095E-2</v>
      </c>
      <c r="T19" s="110">
        <f t="shared" ca="1" si="3"/>
        <v>3.9129904282449335E-2</v>
      </c>
    </row>
    <row r="20" spans="2:20" x14ac:dyDescent="0.3">
      <c r="B20" s="1">
        <v>3</v>
      </c>
      <c r="C20" s="129">
        <f>'Données d''entrée des courbes'!C21</f>
        <v>5.13E-3</v>
      </c>
      <c r="E20" s="1">
        <v>3</v>
      </c>
      <c r="F20" s="16">
        <f t="shared" si="4"/>
        <v>1.8775E-2</v>
      </c>
      <c r="G20" s="132">
        <v>5.6800000000000002E-3</v>
      </c>
      <c r="H20" s="132">
        <v>2.274E-2</v>
      </c>
      <c r="I20" s="132">
        <v>1.9170000000000003E-2</v>
      </c>
      <c r="J20" s="132">
        <v>1.9769999999999999E-2</v>
      </c>
      <c r="K20" s="28"/>
      <c r="N20">
        <v>17</v>
      </c>
      <c r="O20" s="36">
        <f ca="1"/>
        <v>1.2137691484647606E-2</v>
      </c>
      <c r="P20" s="36">
        <f ca="1"/>
        <v>1.8191063806327457E-2</v>
      </c>
      <c r="Q20" s="36">
        <f t="shared" si="0"/>
        <v>1.5E-3</v>
      </c>
      <c r="R20" s="37">
        <f t="shared" ca="1" si="1"/>
        <v>1.9691063806327458E-2</v>
      </c>
      <c r="S20" s="41">
        <f t="shared" ca="1" si="2"/>
        <v>3.1828755290975064E-2</v>
      </c>
      <c r="T20" s="110">
        <f t="shared" ca="1" si="3"/>
        <v>4.0396453800012555E-2</v>
      </c>
    </row>
    <row r="21" spans="2:20" x14ac:dyDescent="0.3">
      <c r="B21" s="1">
        <v>4</v>
      </c>
      <c r="C21" s="129">
        <f>'Données d''entrée des courbes'!C22</f>
        <v>5.8299999999999992E-3</v>
      </c>
      <c r="E21" s="1">
        <v>4</v>
      </c>
      <c r="F21" s="16">
        <f t="shared" si="4"/>
        <v>1.9029000000000004E-2</v>
      </c>
      <c r="G21" s="132">
        <v>7.150000000000001E-3</v>
      </c>
      <c r="H21" s="132">
        <v>2.2875E-2</v>
      </c>
      <c r="I21" s="132">
        <v>1.9170000000000003E-2</v>
      </c>
      <c r="J21" s="132">
        <v>1.9970000000000002E-2</v>
      </c>
      <c r="K21" s="28"/>
      <c r="N21">
        <v>18</v>
      </c>
      <c r="O21" s="36">
        <f ca="1"/>
        <v>1.2561591749558954E-2</v>
      </c>
      <c r="P21" s="36">
        <f ca="1"/>
        <v>1.8313716079108477E-2</v>
      </c>
      <c r="Q21" s="36">
        <f t="shared" si="0"/>
        <v>1.5E-3</v>
      </c>
      <c r="R21" s="37">
        <f t="shared" ca="1" si="1"/>
        <v>1.9813716079108479E-2</v>
      </c>
      <c r="S21" s="41">
        <f t="shared" ca="1" si="2"/>
        <v>3.2375307828667432E-2</v>
      </c>
      <c r="T21" s="110">
        <f t="shared" ca="1" si="3"/>
        <v>4.1711120629756682E-2</v>
      </c>
    </row>
    <row r="22" spans="2:20" x14ac:dyDescent="0.3">
      <c r="B22" s="1">
        <v>5</v>
      </c>
      <c r="C22" s="129">
        <f>'Données d''entrée des courbes'!C23</f>
        <v>6.1399999999999996E-3</v>
      </c>
      <c r="E22" s="1">
        <v>5</v>
      </c>
      <c r="F22" s="16">
        <f t="shared" si="4"/>
        <v>1.9466000000000001E-2</v>
      </c>
      <c r="G22" s="132">
        <v>8.2799999999999992E-3</v>
      </c>
      <c r="H22" s="132">
        <v>2.3229999999999997E-2</v>
      </c>
      <c r="I22" s="132">
        <v>1.9359999999999999E-2</v>
      </c>
      <c r="J22" s="132">
        <v>2.0459999999999999E-2</v>
      </c>
      <c r="K22" s="28"/>
      <c r="N22">
        <v>19</v>
      </c>
      <c r="O22" s="36">
        <f ca="1"/>
        <v>1.299011858282384E-2</v>
      </c>
      <c r="P22" s="36">
        <f ca="1"/>
        <v>1.844579265010482E-2</v>
      </c>
      <c r="Q22" s="36">
        <f t="shared" si="0"/>
        <v>1.5E-3</v>
      </c>
      <c r="R22" s="37">
        <f t="shared" ca="1" si="1"/>
        <v>1.9945792650104821E-2</v>
      </c>
      <c r="S22" s="41">
        <f t="shared" ca="1" si="2"/>
        <v>3.2935911232928661E-2</v>
      </c>
      <c r="T22" s="110">
        <f t="shared" ca="1" si="3"/>
        <v>4.3078988941324559E-2</v>
      </c>
    </row>
    <row r="23" spans="2:20" x14ac:dyDescent="0.3">
      <c r="B23" s="1">
        <v>7</v>
      </c>
      <c r="C23" s="129">
        <f>'Données d''entrée des courbes'!C24</f>
        <v>6.6700000000000006E-3</v>
      </c>
      <c r="E23" s="1">
        <v>7</v>
      </c>
      <c r="F23" s="16">
        <f t="shared" si="4"/>
        <v>2.0903999999999999E-2</v>
      </c>
      <c r="G23" s="132">
        <v>1.0480000000000001E-2</v>
      </c>
      <c r="H23" s="132">
        <v>2.4524999999999998E-2</v>
      </c>
      <c r="I23" s="132">
        <v>2.0330000000000001E-2</v>
      </c>
      <c r="J23" s="132">
        <v>2.2129999999999997E-2</v>
      </c>
      <c r="K23" s="28"/>
      <c r="N23">
        <v>20</v>
      </c>
      <c r="O23" s="36">
        <f ca="1"/>
        <v>1.3423554509838675E-2</v>
      </c>
      <c r="P23" s="36">
        <f ca="1"/>
        <v>1.8587796629320807E-2</v>
      </c>
      <c r="Q23" s="36">
        <f t="shared" si="0"/>
        <v>1.5E-3</v>
      </c>
      <c r="R23" s="37">
        <f t="shared" ca="1" si="1"/>
        <v>2.0087796629320809E-2</v>
      </c>
      <c r="S23" s="41">
        <f t="shared" ca="1" si="2"/>
        <v>3.3511351139159484E-2</v>
      </c>
      <c r="T23" s="110">
        <f t="shared" ca="1" si="3"/>
        <v>4.4505822250006544E-2</v>
      </c>
    </row>
    <row r="24" spans="2:20" x14ac:dyDescent="0.3">
      <c r="B24" s="1">
        <v>8</v>
      </c>
      <c r="C24" s="129">
        <f>'Données d''entrée des courbes'!C25</f>
        <v>6.7400000000000003E-3</v>
      </c>
      <c r="E24" s="1">
        <v>8</v>
      </c>
      <c r="F24" s="16">
        <f t="shared" si="4"/>
        <v>2.1567999999999997E-2</v>
      </c>
      <c r="G24" s="132">
        <v>1.1269999999999999E-2</v>
      </c>
      <c r="H24" s="132">
        <v>2.5144999999999997E-2</v>
      </c>
      <c r="I24" s="132">
        <v>2.0760000000000001E-2</v>
      </c>
      <c r="J24" s="132">
        <v>2.2959999999999998E-2</v>
      </c>
      <c r="K24" s="28"/>
      <c r="N24">
        <v>21</v>
      </c>
      <c r="O24" s="36">
        <f ca="1"/>
        <v>1.3531368646791497E-2</v>
      </c>
      <c r="P24" s="36">
        <f ca="1"/>
        <v>1.8648393751774184E-2</v>
      </c>
      <c r="Q24" s="36">
        <f t="shared" si="0"/>
        <v>1.5E-3</v>
      </c>
      <c r="R24" s="37">
        <f t="shared" ca="1" si="1"/>
        <v>2.0148393751774185E-2</v>
      </c>
      <c r="S24" s="41">
        <f t="shared" ca="1" si="2"/>
        <v>3.3679762398565682E-2</v>
      </c>
      <c r="T24" s="110">
        <f t="shared" ca="1" si="3"/>
        <v>3.7053756507656965E-2</v>
      </c>
    </row>
    <row r="25" spans="2:20" x14ac:dyDescent="0.3">
      <c r="B25" s="1">
        <v>9</v>
      </c>
      <c r="C25" s="129">
        <f>'Données d''entrée des courbes'!C26</f>
        <v>7.2199999999999999E-3</v>
      </c>
      <c r="E25" s="1">
        <v>9</v>
      </c>
      <c r="F25" s="16">
        <f t="shared" si="4"/>
        <v>2.1885000000000002E-2</v>
      </c>
      <c r="G25" s="132">
        <v>1.1799999999999998E-2</v>
      </c>
      <c r="H25" s="132">
        <v>2.5444999999999999E-2</v>
      </c>
      <c r="I25" s="132">
        <v>2.0879999999999999E-2</v>
      </c>
      <c r="J25" s="132">
        <v>2.3380000000000001E-2</v>
      </c>
      <c r="K25" s="28"/>
      <c r="N25">
        <v>22</v>
      </c>
      <c r="O25" s="36">
        <f ca="1"/>
        <v>1.3641218539176991E-2</v>
      </c>
      <c r="P25" s="36">
        <f ca="1"/>
        <v>1.8715005746656854E-2</v>
      </c>
      <c r="Q25" s="36">
        <f t="shared" si="0"/>
        <v>1.5E-3</v>
      </c>
      <c r="R25" s="37">
        <f t="shared" ca="1" si="1"/>
        <v>2.0215005746656856E-2</v>
      </c>
      <c r="S25" s="41">
        <f t="shared" ca="1" si="2"/>
        <v>3.3856224285833847E-2</v>
      </c>
      <c r="T25" s="110">
        <f t="shared" ca="1" si="3"/>
        <v>3.756889053951884E-2</v>
      </c>
    </row>
    <row r="26" spans="2:20" x14ac:dyDescent="0.3">
      <c r="B26" s="1">
        <v>10</v>
      </c>
      <c r="C26" s="129">
        <f>'Données d''entrée des courbes'!C27</f>
        <v>7.7499999999999999E-3</v>
      </c>
      <c r="E26" s="1">
        <v>10</v>
      </c>
      <c r="F26" s="16">
        <f t="shared" si="4"/>
        <v>2.2075999999999998E-2</v>
      </c>
      <c r="G26" s="132">
        <v>1.2129999999999998E-2</v>
      </c>
      <c r="H26" s="132">
        <v>2.5590000000000002E-2</v>
      </c>
      <c r="I26" s="132">
        <v>2.095E-2</v>
      </c>
      <c r="J26" s="132">
        <v>2.3649999999999997E-2</v>
      </c>
      <c r="K26" s="28"/>
      <c r="N26">
        <v>23</v>
      </c>
      <c r="O26" s="36">
        <f ca="1"/>
        <v>1.3752976685896812E-2</v>
      </c>
      <c r="P26" s="36">
        <f ca="1"/>
        <v>1.8787457943301888E-2</v>
      </c>
      <c r="Q26" s="36">
        <f t="shared" si="0"/>
        <v>1.5E-3</v>
      </c>
      <c r="R26" s="37">
        <f t="shared" ca="1" si="1"/>
        <v>2.028745794330189E-2</v>
      </c>
      <c r="S26" s="41">
        <f t="shared" ca="1" si="2"/>
        <v>3.4040434629198701E-2</v>
      </c>
      <c r="T26" s="110">
        <f t="shared" ca="1" si="3"/>
        <v>3.810137656984347E-2</v>
      </c>
    </row>
    <row r="27" spans="2:20" x14ac:dyDescent="0.3">
      <c r="B27" s="1">
        <v>15</v>
      </c>
      <c r="C27" s="129">
        <f>'Données d''entrée des courbes'!C28</f>
        <v>1.102E-2</v>
      </c>
      <c r="E27" s="1">
        <v>15</v>
      </c>
      <c r="F27" s="16">
        <f t="shared" si="4"/>
        <v>2.2760000000000002E-2</v>
      </c>
      <c r="G27" s="132">
        <v>1.3689999999999999E-2</v>
      </c>
      <c r="H27" s="132">
        <v>2.6125000000000002E-2</v>
      </c>
      <c r="I27" s="132">
        <v>2.0979999999999999E-2</v>
      </c>
      <c r="J27" s="132">
        <v>2.4680000000000001E-2</v>
      </c>
      <c r="K27" s="28"/>
      <c r="N27">
        <v>24</v>
      </c>
      <c r="O27" s="36">
        <f ca="1"/>
        <v>1.386654275115129E-2</v>
      </c>
      <c r="P27" s="36">
        <f ca="1"/>
        <v>1.8865651476212164E-2</v>
      </c>
      <c r="Q27" s="36">
        <f t="shared" si="0"/>
        <v>1.5E-3</v>
      </c>
      <c r="R27" s="37">
        <f t="shared" ca="1" si="1"/>
        <v>2.0365651476212165E-2</v>
      </c>
      <c r="S27" s="41">
        <f t="shared" ca="1" si="2"/>
        <v>3.4232194227363455E-2</v>
      </c>
      <c r="T27" s="110">
        <f t="shared" ca="1" si="3"/>
        <v>3.8652493243680253E-2</v>
      </c>
    </row>
    <row r="28" spans="2:20" x14ac:dyDescent="0.3">
      <c r="B28" s="1">
        <v>20</v>
      </c>
      <c r="C28" s="129">
        <f>'Données d''entrée des courbes'!C29</f>
        <v>1.294E-2</v>
      </c>
      <c r="E28" s="1">
        <v>20</v>
      </c>
      <c r="F28" s="16">
        <f t="shared" si="4"/>
        <v>2.3111E-2</v>
      </c>
      <c r="G28" s="132">
        <v>1.4089999999999998E-2</v>
      </c>
      <c r="H28" s="132">
        <v>2.64E-2</v>
      </c>
      <c r="I28" s="132">
        <v>2.0659999999999998E-2</v>
      </c>
      <c r="J28" s="132">
        <v>2.5559999999999999E-2</v>
      </c>
      <c r="K28" s="28"/>
      <c r="N28">
        <v>25</v>
      </c>
      <c r="O28" s="36">
        <f ca="1"/>
        <v>1.3981838406994296E-2</v>
      </c>
      <c r="P28" s="36">
        <f ca="1"/>
        <v>1.8949552658570512E-2</v>
      </c>
      <c r="Q28" s="36">
        <f t="shared" si="0"/>
        <v>1.5E-3</v>
      </c>
      <c r="R28" s="37">
        <f t="shared" ca="1" si="1"/>
        <v>2.0449552658570513E-2</v>
      </c>
      <c r="S28" s="41">
        <f t="shared" ca="1" si="2"/>
        <v>3.4431391065564809E-2</v>
      </c>
      <c r="T28" s="110">
        <f t="shared" ca="1" si="3"/>
        <v>3.9223642004239778E-2</v>
      </c>
    </row>
    <row r="29" spans="2:20" x14ac:dyDescent="0.3">
      <c r="B29" s="1">
        <v>25</v>
      </c>
      <c r="C29" s="129">
        <f>'Données d''entrée des courbes'!C30</f>
        <v>1.3480000000000001E-2</v>
      </c>
      <c r="E29" s="1">
        <v>25</v>
      </c>
      <c r="F29" s="16">
        <f t="shared" si="4"/>
        <v>2.3434E-2</v>
      </c>
      <c r="G29" s="132">
        <v>1.4130000000000002E-2</v>
      </c>
      <c r="H29" s="132">
        <v>2.6734999999999995E-2</v>
      </c>
      <c r="I29" s="132">
        <v>2.0619999999999999E-2</v>
      </c>
      <c r="J29" s="132">
        <v>2.622E-2</v>
      </c>
      <c r="K29" s="28"/>
      <c r="N29">
        <v>26</v>
      </c>
      <c r="O29" s="36">
        <f ca="1"/>
        <v>1.3926994380078161E-2</v>
      </c>
      <c r="P29" s="36">
        <f ca="1"/>
        <v>1.9003983654161949E-2</v>
      </c>
      <c r="Q29" s="36">
        <f t="shared" si="0"/>
        <v>1.5E-3</v>
      </c>
      <c r="R29" s="37">
        <f t="shared" ca="1" si="1"/>
        <v>2.050398365416195E-2</v>
      </c>
      <c r="S29" s="41">
        <f t="shared" ca="1" si="2"/>
        <v>3.4430978034240112E-2</v>
      </c>
      <c r="T29" s="110">
        <f t="shared" ca="1" si="3"/>
        <v>3.442065230471858E-2</v>
      </c>
    </row>
    <row r="30" spans="2:20" x14ac:dyDescent="0.3">
      <c r="B30" s="1">
        <v>30</v>
      </c>
      <c r="C30" s="129">
        <f>'Données d''entrée des courbes'!C31</f>
        <v>1.333E-2</v>
      </c>
      <c r="E30" s="1">
        <v>30</v>
      </c>
      <c r="F30" s="16">
        <f t="shared" si="4"/>
        <v>2.3845000000000002E-2</v>
      </c>
      <c r="G30" s="132">
        <v>1.427E-2</v>
      </c>
      <c r="H30" s="132">
        <v>2.7145000000000002E-2</v>
      </c>
      <c r="I30" s="132">
        <v>2.1069999999999998E-2</v>
      </c>
      <c r="J30" s="132">
        <v>2.6669999999999999E-2</v>
      </c>
      <c r="K30" s="28"/>
      <c r="N30">
        <v>27</v>
      </c>
      <c r="O30" s="36">
        <f ca="1"/>
        <v>1.3873527472835878E-2</v>
      </c>
      <c r="P30" s="36">
        <f ca="1"/>
        <v>1.9062070568387046E-2</v>
      </c>
      <c r="Q30" s="36">
        <f t="shared" si="0"/>
        <v>1.5E-3</v>
      </c>
      <c r="R30" s="37">
        <f t="shared" ca="1" si="1"/>
        <v>2.0562070568387047E-2</v>
      </c>
      <c r="S30" s="41">
        <f t="shared" ca="1" si="2"/>
        <v>3.4435598041222926E-2</v>
      </c>
      <c r="T30" s="110">
        <f t="shared" ca="1" si="3"/>
        <v>3.4555725465585496E-2</v>
      </c>
    </row>
    <row r="31" spans="2:20" x14ac:dyDescent="0.3">
      <c r="N31">
        <v>28</v>
      </c>
      <c r="O31" s="36">
        <f ca="1"/>
        <v>1.3821273873644069E-2</v>
      </c>
      <c r="P31" s="36">
        <f ca="1"/>
        <v>1.912360955484288E-2</v>
      </c>
      <c r="Q31" s="36">
        <f t="shared" si="0"/>
        <v>1.5E-3</v>
      </c>
      <c r="R31" s="37">
        <f t="shared" ca="1" si="1"/>
        <v>2.0623609554842881E-2</v>
      </c>
      <c r="S31" s="41">
        <f t="shared" ca="1" si="2"/>
        <v>3.444488342848695E-2</v>
      </c>
      <c r="T31" s="110">
        <f t="shared" ca="1" si="3"/>
        <v>3.469562039271179E-2</v>
      </c>
    </row>
    <row r="32" spans="2:20" x14ac:dyDescent="0.3">
      <c r="N32">
        <v>29</v>
      </c>
      <c r="O32" s="36">
        <f ca="1"/>
        <v>1.3770092406137246E-2</v>
      </c>
      <c r="P32" s="36">
        <f ca="1"/>
        <v>1.9188433851483777E-2</v>
      </c>
      <c r="Q32" s="36">
        <f t="shared" si="0"/>
        <v>1.5E-3</v>
      </c>
      <c r="R32" s="37">
        <f t="shared" ca="1" si="1"/>
        <v>2.0688433851483778E-2</v>
      </c>
      <c r="S32" s="41">
        <f t="shared" ca="1" si="2"/>
        <v>3.4458526257621025E-2</v>
      </c>
      <c r="T32" s="110">
        <f t="shared" ca="1" si="3"/>
        <v>3.4840598533276035E-2</v>
      </c>
    </row>
    <row r="33" spans="14:20" x14ac:dyDescent="0.3">
      <c r="N33">
        <v>30</v>
      </c>
      <c r="O33" s="36">
        <f ca="1"/>
        <v>1.3719860761480129E-2</v>
      </c>
      <c r="P33" s="36">
        <f ca="1"/>
        <v>1.9256408155290283E-2</v>
      </c>
      <c r="Q33" s="36">
        <f t="shared" si="0"/>
        <v>1.5E-3</v>
      </c>
      <c r="R33" s="37">
        <f t="shared" ca="1" si="1"/>
        <v>2.0756408155290285E-2</v>
      </c>
      <c r="S33" s="41">
        <f t="shared" ca="1" si="2"/>
        <v>3.4476268916770414E-2</v>
      </c>
      <c r="T33" s="110">
        <f t="shared" ca="1" si="3"/>
        <v>3.4990938430621954E-2</v>
      </c>
    </row>
    <row r="34" spans="14:20" x14ac:dyDescent="0.3">
      <c r="N34">
        <v>31</v>
      </c>
      <c r="O34" s="16">
        <f t="shared" ref="O34:O65" ca="1" si="5">IF(N34&gt;=ult_rate_year_IFRS17,ult_rate_IFRS17,(ult_rate_IFRS17-$O$33)/(ult_rate_year_IFRS17-obs_period_IFRS17)+O33)</f>
        <v>1.4245463546250527E-2</v>
      </c>
      <c r="P34" s="134"/>
      <c r="R34" s="16">
        <f t="shared" ref="R34:R65" ca="1" si="6">IF(N34&gt;=ult_rate_year_IFRS17,liq_prem_ult_IFRS17,(liq_prem_ult_IFRS17-$R$33)/(ult_rate_year_IFRS17-obs_period_IFRS17)+R33)</f>
        <v>2.0641279992184479E-2</v>
      </c>
      <c r="S34" s="41">
        <f t="shared" ca="1" si="2"/>
        <v>3.4886743538435003E-2</v>
      </c>
      <c r="T34" s="110">
        <f t="shared" ca="1" si="3"/>
        <v>4.7277009965125627E-2</v>
      </c>
    </row>
    <row r="35" spans="14:20" x14ac:dyDescent="0.3">
      <c r="N35">
        <v>32</v>
      </c>
      <c r="O35" s="16">
        <f t="shared" ca="1" si="5"/>
        <v>1.4771066331020925E-2</v>
      </c>
      <c r="P35" s="134"/>
      <c r="R35" s="16">
        <f t="shared" ca="1" si="6"/>
        <v>2.0526151829078673E-2</v>
      </c>
      <c r="S35" s="41">
        <f t="shared" ca="1" si="2"/>
        <v>3.5297218160099599E-2</v>
      </c>
      <c r="T35" s="110">
        <f t="shared" ca="1" si="3"/>
        <v>4.8103006175780338E-2</v>
      </c>
    </row>
    <row r="36" spans="14:20" x14ac:dyDescent="0.3">
      <c r="N36">
        <v>33</v>
      </c>
      <c r="O36" s="16">
        <f t="shared" ca="1" si="5"/>
        <v>1.5296669115791323E-2</v>
      </c>
      <c r="P36" s="134"/>
      <c r="R36" s="16">
        <f t="shared" ca="1" si="6"/>
        <v>2.0411023665972867E-2</v>
      </c>
      <c r="S36" s="41">
        <f t="shared" ca="1" si="2"/>
        <v>3.5707692781764194E-2</v>
      </c>
      <c r="T36" s="110">
        <f t="shared" ca="1" si="3"/>
        <v>4.8929163117684471E-2</v>
      </c>
    </row>
    <row r="37" spans="14:20" x14ac:dyDescent="0.3">
      <c r="N37">
        <v>34</v>
      </c>
      <c r="O37" s="16">
        <f t="shared" ca="1" si="5"/>
        <v>1.5822271900561721E-2</v>
      </c>
      <c r="P37" s="134"/>
      <c r="R37" s="16">
        <f t="shared" ca="1" si="6"/>
        <v>2.0295895502867062E-2</v>
      </c>
      <c r="S37" s="41">
        <f t="shared" ca="1" si="2"/>
        <v>3.6118167403428783E-2</v>
      </c>
      <c r="T37" s="110">
        <f t="shared" ref="T37:T68" ca="1" si="7">IF($Z$2="À terme", ((1+S37)^N37)/((1+S36)^N36)-1,((((1+T36)^N36)*(1+S37))^(1/N37))-1)</f>
        <v>4.9755480662646567E-2</v>
      </c>
    </row>
    <row r="38" spans="14:20" x14ac:dyDescent="0.3">
      <c r="N38">
        <v>35</v>
      </c>
      <c r="O38" s="16">
        <f t="shared" ca="1" si="5"/>
        <v>1.6347874685332119E-2</v>
      </c>
      <c r="P38" s="134"/>
      <c r="R38" s="16">
        <f t="shared" ca="1" si="6"/>
        <v>2.0180767339761256E-2</v>
      </c>
      <c r="S38" s="41">
        <f t="shared" ca="1" si="2"/>
        <v>3.6528642025093372E-2</v>
      </c>
      <c r="T38" s="110">
        <f t="shared" ca="1" si="7"/>
        <v>5.0581958682561545E-2</v>
      </c>
    </row>
    <row r="39" spans="14:20" x14ac:dyDescent="0.3">
      <c r="N39">
        <v>36</v>
      </c>
      <c r="O39" s="16">
        <f t="shared" ca="1" si="5"/>
        <v>1.6873477470102517E-2</v>
      </c>
      <c r="P39" s="134"/>
      <c r="R39" s="16">
        <f t="shared" ca="1" si="6"/>
        <v>2.006563917665545E-2</v>
      </c>
      <c r="S39" s="41">
        <f t="shared" ca="1" si="2"/>
        <v>3.6939116646757968E-2</v>
      </c>
      <c r="T39" s="110">
        <f t="shared" ca="1" si="7"/>
        <v>5.1408597049474425E-2</v>
      </c>
    </row>
    <row r="40" spans="14:20" x14ac:dyDescent="0.3">
      <c r="N40">
        <v>37</v>
      </c>
      <c r="O40" s="16">
        <f t="shared" ca="1" si="5"/>
        <v>1.7399080254872915E-2</v>
      </c>
      <c r="P40" s="134"/>
      <c r="R40" s="16">
        <f t="shared" ca="1" si="6"/>
        <v>1.9950511013549645E-2</v>
      </c>
      <c r="S40" s="41">
        <f t="shared" ca="1" si="2"/>
        <v>3.7349591268422563E-2</v>
      </c>
      <c r="T40" s="110">
        <f t="shared" ca="1" si="7"/>
        <v>5.2235395635587434E-2</v>
      </c>
    </row>
    <row r="41" spans="14:20" x14ac:dyDescent="0.3">
      <c r="N41">
        <v>38</v>
      </c>
      <c r="O41" s="16">
        <f t="shared" ca="1" si="5"/>
        <v>1.7924683039643313E-2</v>
      </c>
      <c r="P41" s="134"/>
      <c r="R41" s="16">
        <f t="shared" ca="1" si="6"/>
        <v>1.9835382850443839E-2</v>
      </c>
      <c r="S41" s="41">
        <f t="shared" ca="1" si="2"/>
        <v>3.7760065890087152E-2</v>
      </c>
      <c r="T41" s="110">
        <f t="shared" ca="1" si="7"/>
        <v>5.3062354313172078E-2</v>
      </c>
    </row>
    <row r="42" spans="14:20" x14ac:dyDescent="0.3">
      <c r="N42">
        <v>39</v>
      </c>
      <c r="O42" s="16">
        <f t="shared" ca="1" si="5"/>
        <v>1.8450285824413711E-2</v>
      </c>
      <c r="P42" s="134"/>
      <c r="R42" s="16">
        <f t="shared" ca="1" si="6"/>
        <v>1.9720254687338033E-2</v>
      </c>
      <c r="S42" s="41">
        <f t="shared" ca="1" si="2"/>
        <v>3.8170540511751741E-2</v>
      </c>
      <c r="T42" s="110">
        <f t="shared" ca="1" si="7"/>
        <v>5.3889472954663731E-2</v>
      </c>
    </row>
    <row r="43" spans="14:20" x14ac:dyDescent="0.3">
      <c r="N43">
        <v>40</v>
      </c>
      <c r="O43" s="16">
        <f t="shared" ca="1" si="5"/>
        <v>1.8975888609184109E-2</v>
      </c>
      <c r="P43" s="134"/>
      <c r="R43" s="16">
        <f t="shared" ca="1" si="6"/>
        <v>1.9605126524232228E-2</v>
      </c>
      <c r="S43" s="41">
        <f t="shared" ca="1" si="2"/>
        <v>3.8581015133416337E-2</v>
      </c>
      <c r="T43" s="110">
        <f t="shared" ca="1" si="7"/>
        <v>5.4716751432611233E-2</v>
      </c>
    </row>
    <row r="44" spans="14:20" x14ac:dyDescent="0.3">
      <c r="N44">
        <v>41</v>
      </c>
      <c r="O44" s="16">
        <f t="shared" ca="1" si="5"/>
        <v>1.9501491393954507E-2</v>
      </c>
      <c r="P44" s="134"/>
      <c r="R44" s="16">
        <f t="shared" ca="1" si="6"/>
        <v>1.9489998361126422E-2</v>
      </c>
      <c r="S44" s="41">
        <f t="shared" ca="1" si="2"/>
        <v>3.8991489755080933E-2</v>
      </c>
      <c r="T44" s="110">
        <f t="shared" ca="1" si="7"/>
        <v>5.5544189619728845E-2</v>
      </c>
    </row>
    <row r="45" spans="14:20" x14ac:dyDescent="0.3">
      <c r="N45">
        <v>42</v>
      </c>
      <c r="O45" s="16">
        <f t="shared" ca="1" si="5"/>
        <v>2.0027094178724905E-2</v>
      </c>
      <c r="P45" s="134"/>
      <c r="R45" s="16">
        <f t="shared" ca="1" si="6"/>
        <v>1.9374870198020616E-2</v>
      </c>
      <c r="S45" s="41">
        <f t="shared" ca="1" si="2"/>
        <v>3.9401964376745521E-2</v>
      </c>
      <c r="T45" s="110">
        <f t="shared" ca="1" si="7"/>
        <v>5.6371787388797889E-2</v>
      </c>
    </row>
    <row r="46" spans="14:20" x14ac:dyDescent="0.3">
      <c r="N46">
        <v>43</v>
      </c>
      <c r="O46" s="16">
        <f t="shared" ca="1" si="5"/>
        <v>2.0552696963495303E-2</v>
      </c>
      <c r="P46" s="134"/>
      <c r="R46" s="16">
        <f t="shared" ca="1" si="6"/>
        <v>1.925974203491481E-2</v>
      </c>
      <c r="S46" s="41">
        <f t="shared" ca="1" si="2"/>
        <v>3.981243899841011E-2</v>
      </c>
      <c r="T46" s="110">
        <f t="shared" ca="1" si="7"/>
        <v>5.7199544612746456E-2</v>
      </c>
    </row>
    <row r="47" spans="14:20" x14ac:dyDescent="0.3">
      <c r="N47">
        <v>44</v>
      </c>
      <c r="O47" s="16">
        <f t="shared" ca="1" si="5"/>
        <v>2.1078299748265701E-2</v>
      </c>
      <c r="P47" s="134"/>
      <c r="R47" s="16">
        <f t="shared" ca="1" si="6"/>
        <v>1.9144613871809005E-2</v>
      </c>
      <c r="S47" s="41">
        <f t="shared" ca="1" si="2"/>
        <v>4.0222913620074706E-2</v>
      </c>
      <c r="T47" s="110">
        <f t="shared" ca="1" si="7"/>
        <v>5.8027461164674943E-2</v>
      </c>
    </row>
    <row r="48" spans="14:20" x14ac:dyDescent="0.3">
      <c r="N48">
        <v>45</v>
      </c>
      <c r="O48" s="16">
        <f t="shared" ca="1" si="5"/>
        <v>2.1603902533036099E-2</v>
      </c>
      <c r="P48" s="134"/>
      <c r="R48" s="16">
        <f t="shared" ca="1" si="6"/>
        <v>1.9029485708703199E-2</v>
      </c>
      <c r="S48" s="41">
        <f t="shared" ca="1" si="2"/>
        <v>4.0633388241739302E-2</v>
      </c>
      <c r="T48" s="110">
        <f t="shared" ca="1" si="7"/>
        <v>5.8855536917747697E-2</v>
      </c>
    </row>
    <row r="49" spans="14:20" x14ac:dyDescent="0.3">
      <c r="N49">
        <v>46</v>
      </c>
      <c r="O49" s="16">
        <f t="shared" ca="1" si="5"/>
        <v>2.2129505317806497E-2</v>
      </c>
      <c r="P49" s="134"/>
      <c r="R49" s="16">
        <f t="shared" ca="1" si="6"/>
        <v>1.8914357545597393E-2</v>
      </c>
      <c r="S49" s="41">
        <f t="shared" ca="1" si="2"/>
        <v>4.104386286340389E-2</v>
      </c>
      <c r="T49" s="110">
        <f t="shared" ca="1" si="7"/>
        <v>5.9683771745291159E-2</v>
      </c>
    </row>
    <row r="50" spans="14:20" x14ac:dyDescent="0.3">
      <c r="N50">
        <v>47</v>
      </c>
      <c r="O50" s="16">
        <f t="shared" ca="1" si="5"/>
        <v>2.2655108102576895E-2</v>
      </c>
      <c r="P50" s="134"/>
      <c r="R50" s="16">
        <f t="shared" ca="1" si="6"/>
        <v>1.8799229382491588E-2</v>
      </c>
      <c r="S50" s="41">
        <f t="shared" ca="1" si="2"/>
        <v>4.1454337485068479E-2</v>
      </c>
      <c r="T50" s="110">
        <f t="shared" ca="1" si="7"/>
        <v>6.0512165520728134E-2</v>
      </c>
    </row>
    <row r="51" spans="14:20" x14ac:dyDescent="0.3">
      <c r="N51">
        <v>48</v>
      </c>
      <c r="O51" s="16">
        <f t="shared" ca="1" si="5"/>
        <v>2.3180710887347293E-2</v>
      </c>
      <c r="P51" s="134"/>
      <c r="R51" s="16">
        <f t="shared" ca="1" si="6"/>
        <v>1.8684101219385782E-2</v>
      </c>
      <c r="S51" s="41">
        <f t="shared" ca="1" si="2"/>
        <v>4.1864812106733075E-2</v>
      </c>
      <c r="T51" s="110">
        <f t="shared" ca="1" si="7"/>
        <v>6.13407181176715E-2</v>
      </c>
    </row>
    <row r="52" spans="14:20" x14ac:dyDescent="0.3">
      <c r="N52">
        <v>49</v>
      </c>
      <c r="O52" s="16">
        <f t="shared" ca="1" si="5"/>
        <v>2.3706313672117691E-2</v>
      </c>
      <c r="P52" s="134"/>
      <c r="R52" s="16">
        <f t="shared" ca="1" si="6"/>
        <v>1.8568973056279976E-2</v>
      </c>
      <c r="S52" s="41">
        <f t="shared" ca="1" si="2"/>
        <v>4.2275286728397671E-2</v>
      </c>
      <c r="T52" s="110">
        <f t="shared" ca="1" si="7"/>
        <v>6.2169429409782317E-2</v>
      </c>
    </row>
    <row r="53" spans="14:20" x14ac:dyDescent="0.3">
      <c r="N53">
        <v>50</v>
      </c>
      <c r="O53" s="16">
        <f t="shared" ca="1" si="5"/>
        <v>2.4231916456888089E-2</v>
      </c>
      <c r="P53" s="134"/>
      <c r="R53" s="16">
        <f t="shared" ca="1" si="6"/>
        <v>1.8453844893174171E-2</v>
      </c>
      <c r="S53" s="41">
        <f t="shared" ca="1" si="2"/>
        <v>4.268576135006226E-2</v>
      </c>
      <c r="T53" s="110">
        <f t="shared" ca="1" si="7"/>
        <v>6.2998299270886182E-2</v>
      </c>
    </row>
    <row r="54" spans="14:20" x14ac:dyDescent="0.3">
      <c r="N54">
        <v>51</v>
      </c>
      <c r="O54" s="16">
        <f t="shared" ca="1" si="5"/>
        <v>2.4757519241658487E-2</v>
      </c>
      <c r="P54" s="134"/>
      <c r="R54" s="16">
        <f t="shared" ca="1" si="6"/>
        <v>1.8338716730068365E-2</v>
      </c>
      <c r="S54" s="41">
        <f t="shared" ca="1" si="2"/>
        <v>4.3096235971726848E-2</v>
      </c>
      <c r="T54" s="110">
        <f t="shared" ca="1" si="7"/>
        <v>6.3827327574951243E-2</v>
      </c>
    </row>
    <row r="55" spans="14:20" x14ac:dyDescent="0.3">
      <c r="N55">
        <v>52</v>
      </c>
      <c r="O55" s="16">
        <f t="shared" ca="1" si="5"/>
        <v>2.5283122026428885E-2</v>
      </c>
      <c r="P55" s="134"/>
      <c r="R55" s="16">
        <f t="shared" ca="1" si="6"/>
        <v>1.8223588566962559E-2</v>
      </c>
      <c r="S55" s="41">
        <f t="shared" ca="1" si="2"/>
        <v>4.3506710593391444E-2</v>
      </c>
      <c r="T55" s="110">
        <f t="shared" ca="1" si="7"/>
        <v>6.4656514196032244E-2</v>
      </c>
    </row>
    <row r="56" spans="14:20" x14ac:dyDescent="0.3">
      <c r="N56">
        <v>53</v>
      </c>
      <c r="O56" s="16">
        <f t="shared" ca="1" si="5"/>
        <v>2.5808724811199283E-2</v>
      </c>
      <c r="P56" s="134"/>
      <c r="R56" s="16">
        <f t="shared" ca="1" si="6"/>
        <v>1.8108460403856753E-2</v>
      </c>
      <c r="S56" s="41">
        <f t="shared" ca="1" si="2"/>
        <v>4.391718521505604E-2</v>
      </c>
      <c r="T56" s="110">
        <f t="shared" ca="1" si="7"/>
        <v>6.5485859008324709E-2</v>
      </c>
    </row>
    <row r="57" spans="14:20" x14ac:dyDescent="0.3">
      <c r="N57">
        <v>54</v>
      </c>
      <c r="O57" s="16">
        <f t="shared" ca="1" si="5"/>
        <v>2.6334327595969681E-2</v>
      </c>
      <c r="P57" s="134"/>
      <c r="R57" s="16">
        <f t="shared" ca="1" si="6"/>
        <v>1.7993332240750948E-2</v>
      </c>
      <c r="S57" s="41">
        <f t="shared" ca="1" si="2"/>
        <v>4.4327659836720629E-2</v>
      </c>
      <c r="T57" s="110">
        <f t="shared" ca="1" si="7"/>
        <v>6.6315361886183588E-2</v>
      </c>
    </row>
    <row r="58" spans="14:20" x14ac:dyDescent="0.3">
      <c r="N58">
        <v>55</v>
      </c>
      <c r="O58" s="16">
        <f t="shared" ca="1" si="5"/>
        <v>2.6859930380740079E-2</v>
      </c>
      <c r="P58" s="134"/>
      <c r="R58" s="16">
        <f t="shared" ca="1" si="6"/>
        <v>1.7878204077645142E-2</v>
      </c>
      <c r="S58" s="41">
        <f t="shared" ca="1" si="2"/>
        <v>4.4738134458385218E-2</v>
      </c>
      <c r="T58" s="110">
        <f t="shared" ca="1" si="7"/>
        <v>6.7145022704023782E-2</v>
      </c>
    </row>
    <row r="59" spans="14:20" x14ac:dyDescent="0.3">
      <c r="N59">
        <v>56</v>
      </c>
      <c r="O59" s="16">
        <f t="shared" ca="1" si="5"/>
        <v>2.7385533165510477E-2</v>
      </c>
      <c r="P59" s="134"/>
      <c r="R59" s="16">
        <f t="shared" ca="1" si="6"/>
        <v>1.7763075914539336E-2</v>
      </c>
      <c r="S59" s="41">
        <f t="shared" ca="1" si="2"/>
        <v>4.5148609080049813E-2</v>
      </c>
      <c r="T59" s="110">
        <f t="shared" ca="1" si="7"/>
        <v>6.7974841336434721E-2</v>
      </c>
    </row>
    <row r="60" spans="14:20" x14ac:dyDescent="0.3">
      <c r="N60">
        <v>57</v>
      </c>
      <c r="O60" s="16">
        <f t="shared" ca="1" si="5"/>
        <v>2.7911135950280875E-2</v>
      </c>
      <c r="P60" s="134"/>
      <c r="R60" s="16">
        <f t="shared" ca="1" si="6"/>
        <v>1.7647947751433531E-2</v>
      </c>
      <c r="S60" s="41">
        <f t="shared" ca="1" si="2"/>
        <v>4.5559083701714409E-2</v>
      </c>
      <c r="T60" s="110">
        <f t="shared" ca="1" si="7"/>
        <v>6.880481765811064E-2</v>
      </c>
    </row>
    <row r="61" spans="14:20" x14ac:dyDescent="0.3">
      <c r="N61">
        <v>58</v>
      </c>
      <c r="O61" s="16">
        <f t="shared" ca="1" si="5"/>
        <v>2.8436738735051273E-2</v>
      </c>
      <c r="P61" s="134"/>
      <c r="R61" s="16">
        <f t="shared" ca="1" si="6"/>
        <v>1.7532819588327725E-2</v>
      </c>
      <c r="S61" s="41">
        <f t="shared" ca="1" si="2"/>
        <v>4.5969558323378998E-2</v>
      </c>
      <c r="T61" s="110">
        <f t="shared" ca="1" si="7"/>
        <v>6.9634951543897206E-2</v>
      </c>
    </row>
    <row r="62" spans="14:20" x14ac:dyDescent="0.3">
      <c r="N62">
        <v>59</v>
      </c>
      <c r="O62" s="16">
        <f t="shared" ca="1" si="5"/>
        <v>2.8962341519821671E-2</v>
      </c>
      <c r="P62" s="134"/>
      <c r="R62" s="16">
        <f t="shared" ca="1" si="6"/>
        <v>1.7417691425221919E-2</v>
      </c>
      <c r="S62" s="41">
        <f t="shared" ca="1" si="2"/>
        <v>4.6380032945043587E-2</v>
      </c>
      <c r="T62" s="110">
        <f t="shared" ca="1" si="7"/>
        <v>7.0465242868726241E-2</v>
      </c>
    </row>
    <row r="63" spans="14:20" x14ac:dyDescent="0.3">
      <c r="N63">
        <v>60</v>
      </c>
      <c r="O63" s="16">
        <f t="shared" ca="1" si="5"/>
        <v>2.9487944304592069E-2</v>
      </c>
      <c r="P63" s="134"/>
      <c r="R63" s="16">
        <f t="shared" ca="1" si="6"/>
        <v>1.7302563262116114E-2</v>
      </c>
      <c r="S63" s="41">
        <f t="shared" ca="1" si="2"/>
        <v>4.6790507566708182E-2</v>
      </c>
      <c r="T63" s="110">
        <f t="shared" ca="1" si="7"/>
        <v>7.1295691507663017E-2</v>
      </c>
    </row>
    <row r="64" spans="14:20" x14ac:dyDescent="0.3">
      <c r="N64">
        <v>61</v>
      </c>
      <c r="O64" s="16">
        <f t="shared" ca="1" si="5"/>
        <v>3.0013547089362467E-2</v>
      </c>
      <c r="P64" s="134"/>
      <c r="R64" s="16">
        <f t="shared" ca="1" si="6"/>
        <v>1.7187435099010308E-2</v>
      </c>
      <c r="S64" s="41">
        <f t="shared" ca="1" si="2"/>
        <v>4.7200982188372778E-2</v>
      </c>
      <c r="T64" s="110">
        <f t="shared" ca="1" si="7"/>
        <v>7.2126297335930678E-2</v>
      </c>
    </row>
    <row r="65" spans="14:20" x14ac:dyDescent="0.3">
      <c r="N65">
        <v>62</v>
      </c>
      <c r="O65" s="16">
        <f t="shared" ca="1" si="5"/>
        <v>3.0539149874132865E-2</v>
      </c>
      <c r="P65" s="134"/>
      <c r="R65" s="16">
        <f t="shared" ca="1" si="6"/>
        <v>1.7072306935904502E-2</v>
      </c>
      <c r="S65" s="41">
        <f t="shared" ca="1" si="2"/>
        <v>4.7611456810037367E-2</v>
      </c>
      <c r="T65" s="110">
        <f t="shared" ca="1" si="7"/>
        <v>7.2957060228836301E-2</v>
      </c>
    </row>
    <row r="66" spans="14:20" x14ac:dyDescent="0.3">
      <c r="N66">
        <v>63</v>
      </c>
      <c r="O66" s="16">
        <f t="shared" ref="O66:O97" ca="1" si="8">IF(N66&gt;=ult_rate_year_IFRS17,ult_rate_IFRS17,(ult_rate_IFRS17-$O$33)/(ult_rate_year_IFRS17-obs_period_IFRS17)+O65)</f>
        <v>3.1064752658903263E-2</v>
      </c>
      <c r="P66" s="134"/>
      <c r="R66" s="16">
        <f t="shared" ref="R66:R97" ca="1" si="9">IF(N66&gt;=ult_rate_year_IFRS17,liq_prem_ult_IFRS17,(liq_prem_ult_IFRS17-$R$33)/(ult_rate_year_IFRS17-obs_period_IFRS17)+R65)</f>
        <v>1.6957178772798696E-2</v>
      </c>
      <c r="S66" s="41">
        <f t="shared" ca="1" si="2"/>
        <v>4.8021931431701956E-2</v>
      </c>
      <c r="T66" s="110">
        <f t="shared" ca="1" si="7"/>
        <v>7.3787980061818859E-2</v>
      </c>
    </row>
    <row r="67" spans="14:20" x14ac:dyDescent="0.3">
      <c r="N67">
        <v>64</v>
      </c>
      <c r="O67" s="16">
        <f t="shared" ca="1" si="8"/>
        <v>3.1590355443673661E-2</v>
      </c>
      <c r="P67" s="134"/>
      <c r="R67" s="16">
        <f t="shared" ca="1" si="9"/>
        <v>1.6842050609692891E-2</v>
      </c>
      <c r="S67" s="41">
        <f t="shared" ca="1" si="2"/>
        <v>4.8432406053366552E-2</v>
      </c>
      <c r="T67" s="110">
        <f t="shared" ca="1" si="7"/>
        <v>7.4619056710483411E-2</v>
      </c>
    </row>
    <row r="68" spans="14:20" x14ac:dyDescent="0.3">
      <c r="N68">
        <v>65</v>
      </c>
      <c r="O68" s="16">
        <f t="shared" ca="1" si="8"/>
        <v>3.2115958228444055E-2</v>
      </c>
      <c r="P68" s="134"/>
      <c r="R68" s="16">
        <f t="shared" ca="1" si="9"/>
        <v>1.6726922446587085E-2</v>
      </c>
      <c r="S68" s="41">
        <f t="shared" ca="1" si="2"/>
        <v>4.884288067503114E-2</v>
      </c>
      <c r="T68" s="110">
        <f t="shared" ca="1" si="7"/>
        <v>7.5450290050483204E-2</v>
      </c>
    </row>
    <row r="69" spans="14:20" x14ac:dyDescent="0.3">
      <c r="N69">
        <v>66</v>
      </c>
      <c r="O69" s="16">
        <f t="shared" ca="1" si="8"/>
        <v>3.264156101321445E-2</v>
      </c>
      <c r="P69" s="134"/>
      <c r="R69" s="16">
        <f t="shared" ca="1" si="9"/>
        <v>1.6611794283481279E-2</v>
      </c>
      <c r="S69" s="41">
        <f t="shared" ref="S69:S103" ca="1" si="10">O69+R69</f>
        <v>4.9253355296695729E-2</v>
      </c>
      <c r="T69" s="110">
        <f t="shared" ref="T69:T100" ca="1" si="11">IF($Z$2="À terme", ((1+S69)^N69)/((1+S68)^N68)-1,((((1+T68)^N68)*(1+S69))^(1/N69))-1)</f>
        <v>7.628167995766777E-2</v>
      </c>
    </row>
    <row r="70" spans="14:20" x14ac:dyDescent="0.3">
      <c r="N70">
        <v>67</v>
      </c>
      <c r="O70" s="16">
        <f t="shared" ca="1" si="8"/>
        <v>3.3167163797984844E-2</v>
      </c>
      <c r="P70" s="134"/>
      <c r="R70" s="16">
        <f t="shared" ca="1" si="9"/>
        <v>1.6496666120375474E-2</v>
      </c>
      <c r="S70" s="41">
        <f t="shared" ca="1" si="10"/>
        <v>4.9663829918360318E-2</v>
      </c>
      <c r="T70" s="110">
        <f t="shared" ca="1" si="11"/>
        <v>7.7113226307951699E-2</v>
      </c>
    </row>
    <row r="71" spans="14:20" x14ac:dyDescent="0.3">
      <c r="N71">
        <v>68</v>
      </c>
      <c r="O71" s="16">
        <f t="shared" ca="1" si="8"/>
        <v>3.3692766582755239E-2</v>
      </c>
      <c r="P71" s="134"/>
      <c r="R71" s="16">
        <f t="shared" ca="1" si="9"/>
        <v>1.6381537957269668E-2</v>
      </c>
      <c r="S71" s="41">
        <f t="shared" ca="1" si="10"/>
        <v>5.0074304540024907E-2</v>
      </c>
      <c r="T71" s="110">
        <f t="shared" ca="1" si="11"/>
        <v>7.7944928977436323E-2</v>
      </c>
    </row>
    <row r="72" spans="14:20" x14ac:dyDescent="0.3">
      <c r="N72">
        <v>69</v>
      </c>
      <c r="O72" s="16">
        <f t="shared" ca="1" si="8"/>
        <v>3.4218369367525633E-2</v>
      </c>
      <c r="P72" s="134"/>
      <c r="R72" s="16">
        <f t="shared" ca="1" si="9"/>
        <v>1.6266409794163862E-2</v>
      </c>
      <c r="S72" s="41">
        <f t="shared" ca="1" si="10"/>
        <v>5.0484779161689496E-2</v>
      </c>
      <c r="T72" s="110">
        <f t="shared" ca="1" si="11"/>
        <v>7.8776787842289142E-2</v>
      </c>
    </row>
    <row r="73" spans="14:20" x14ac:dyDescent="0.3">
      <c r="N73">
        <v>70</v>
      </c>
      <c r="O73" s="16">
        <f t="shared" ca="1" si="8"/>
        <v>3.4743972152296028E-2</v>
      </c>
      <c r="P73" s="134"/>
      <c r="R73" s="16">
        <f t="shared" ca="1" si="9"/>
        <v>1.6151281631058056E-2</v>
      </c>
      <c r="S73" s="41">
        <f t="shared" ca="1" si="10"/>
        <v>5.0895253783354084E-2</v>
      </c>
      <c r="T73" s="110">
        <f t="shared" ca="1" si="11"/>
        <v>7.9608802778800891E-2</v>
      </c>
    </row>
    <row r="74" spans="14:20" x14ac:dyDescent="0.3">
      <c r="N74">
        <v>71</v>
      </c>
      <c r="O74" s="16">
        <f t="shared" ca="1" si="8"/>
        <v>3.5269574937066422E-2</v>
      </c>
      <c r="P74" s="134"/>
      <c r="R74" s="16">
        <f t="shared" ca="1" si="9"/>
        <v>1.6036153467952251E-2</v>
      </c>
      <c r="S74" s="41">
        <f t="shared" ca="1" si="10"/>
        <v>5.1305728405018673E-2</v>
      </c>
      <c r="T74" s="110">
        <f t="shared" ca="1" si="11"/>
        <v>8.044097366346592E-2</v>
      </c>
    </row>
    <row r="75" spans="14:20" x14ac:dyDescent="0.3">
      <c r="N75">
        <v>72</v>
      </c>
      <c r="O75" s="16">
        <f t="shared" ca="1" si="8"/>
        <v>3.5795177721836817E-2</v>
      </c>
      <c r="P75" s="134"/>
      <c r="R75" s="16">
        <f t="shared" ca="1" si="9"/>
        <v>1.5921025304846445E-2</v>
      </c>
      <c r="S75" s="41">
        <f t="shared" ca="1" si="10"/>
        <v>5.1716203026683262E-2</v>
      </c>
      <c r="T75" s="110">
        <f t="shared" ca="1" si="11"/>
        <v>8.1273300372794566E-2</v>
      </c>
    </row>
    <row r="76" spans="14:20" x14ac:dyDescent="0.3">
      <c r="N76">
        <v>73</v>
      </c>
      <c r="O76" s="16">
        <f t="shared" ca="1" si="8"/>
        <v>3.6320780506607211E-2</v>
      </c>
      <c r="P76" s="134"/>
      <c r="R76" s="16">
        <f t="shared" ca="1" si="9"/>
        <v>1.5805897141740639E-2</v>
      </c>
      <c r="S76" s="41">
        <f t="shared" ca="1" si="10"/>
        <v>5.2126677648347851E-2</v>
      </c>
      <c r="T76" s="110">
        <f t="shared" ca="1" si="11"/>
        <v>8.2105782783458814E-2</v>
      </c>
    </row>
    <row r="77" spans="14:20" x14ac:dyDescent="0.3">
      <c r="N77">
        <v>74</v>
      </c>
      <c r="O77" s="16">
        <f t="shared" ca="1" si="8"/>
        <v>3.6846383291377606E-2</v>
      </c>
      <c r="P77" s="134"/>
      <c r="R77" s="16">
        <f t="shared" ca="1" si="9"/>
        <v>1.5690768978634834E-2</v>
      </c>
      <c r="S77" s="41">
        <f t="shared" ca="1" si="10"/>
        <v>5.253715227001244E-2</v>
      </c>
      <c r="T77" s="110">
        <f t="shared" ca="1" si="11"/>
        <v>8.2938420772313837E-2</v>
      </c>
    </row>
    <row r="78" spans="14:20" x14ac:dyDescent="0.3">
      <c r="N78">
        <v>75</v>
      </c>
      <c r="O78" s="16">
        <f t="shared" ca="1" si="8"/>
        <v>3.7371986076148E-2</v>
      </c>
      <c r="P78" s="134"/>
      <c r="R78" s="16">
        <f t="shared" ca="1" si="9"/>
        <v>1.5575640815529028E-2</v>
      </c>
      <c r="S78" s="41">
        <f t="shared" ca="1" si="10"/>
        <v>5.2947626891677028E-2</v>
      </c>
      <c r="T78" s="110">
        <f t="shared" ca="1" si="11"/>
        <v>8.3771214216253442E-2</v>
      </c>
    </row>
    <row r="79" spans="14:20" x14ac:dyDescent="0.3">
      <c r="N79">
        <v>76</v>
      </c>
      <c r="O79" s="16">
        <f t="shared" ca="1" si="8"/>
        <v>3.7897588860918395E-2</v>
      </c>
      <c r="P79" s="134"/>
      <c r="R79" s="16">
        <f t="shared" ca="1" si="9"/>
        <v>1.5460512652423222E-2</v>
      </c>
      <c r="S79" s="41">
        <f t="shared" ca="1" si="10"/>
        <v>5.3358101513341617E-2</v>
      </c>
      <c r="T79" s="110">
        <f t="shared" ca="1" si="11"/>
        <v>8.460416299229534E-2</v>
      </c>
    </row>
    <row r="80" spans="14:20" x14ac:dyDescent="0.3">
      <c r="N80">
        <v>77</v>
      </c>
      <c r="O80" s="16">
        <f t="shared" ca="1" si="8"/>
        <v>3.842319164568879E-2</v>
      </c>
      <c r="P80" s="134"/>
      <c r="R80" s="16">
        <f t="shared" ca="1" si="9"/>
        <v>1.5345384489317417E-2</v>
      </c>
      <c r="S80" s="41">
        <f t="shared" ca="1" si="10"/>
        <v>5.3768576135006206E-2</v>
      </c>
      <c r="T80" s="110">
        <f t="shared" ca="1" si="11"/>
        <v>8.5437266977691273E-2</v>
      </c>
    </row>
    <row r="81" spans="14:20" x14ac:dyDescent="0.3">
      <c r="N81">
        <v>78</v>
      </c>
      <c r="O81" s="16">
        <f t="shared" ca="1" si="8"/>
        <v>3.8948794430459184E-2</v>
      </c>
      <c r="P81" s="134"/>
      <c r="R81" s="16">
        <f t="shared" ca="1" si="9"/>
        <v>1.5230256326211611E-2</v>
      </c>
      <c r="S81" s="41">
        <f t="shared" ca="1" si="10"/>
        <v>5.4179050756670795E-2</v>
      </c>
      <c r="T81" s="110">
        <f t="shared" ca="1" si="11"/>
        <v>8.6270526049664786E-2</v>
      </c>
    </row>
    <row r="82" spans="14:20" x14ac:dyDescent="0.3">
      <c r="N82">
        <v>79</v>
      </c>
      <c r="O82" s="16">
        <f t="shared" ca="1" si="8"/>
        <v>3.9474397215229579E-2</v>
      </c>
      <c r="P82" s="134"/>
      <c r="R82" s="16">
        <f t="shared" ca="1" si="9"/>
        <v>1.5115128163105805E-2</v>
      </c>
      <c r="S82" s="41">
        <f t="shared" ca="1" si="10"/>
        <v>5.4589525378335384E-2</v>
      </c>
      <c r="T82" s="110">
        <f t="shared" ca="1" si="11"/>
        <v>8.710394008562794E-2</v>
      </c>
    </row>
    <row r="83" spans="14:20" x14ac:dyDescent="0.3">
      <c r="N83">
        <v>80</v>
      </c>
      <c r="O83" s="16">
        <f t="shared" si="8"/>
        <v>0.04</v>
      </c>
      <c r="P83" s="134"/>
      <c r="R83" s="16">
        <f t="shared" si="9"/>
        <v>1.4999999999999999E-2</v>
      </c>
      <c r="S83" s="41">
        <f t="shared" si="10"/>
        <v>5.5E-2</v>
      </c>
      <c r="T83" s="110">
        <f t="shared" ca="1" si="11"/>
        <v>8.793750896318886E-2</v>
      </c>
    </row>
    <row r="84" spans="14:20" x14ac:dyDescent="0.3">
      <c r="N84">
        <v>81</v>
      </c>
      <c r="O84" s="16">
        <f t="shared" si="8"/>
        <v>0.04</v>
      </c>
      <c r="P84" s="134"/>
      <c r="R84" s="16">
        <f t="shared" si="9"/>
        <v>1.4999999999999999E-2</v>
      </c>
      <c r="S84" s="41">
        <f t="shared" si="10"/>
        <v>5.5E-2</v>
      </c>
      <c r="T84" s="110">
        <f t="shared" si="11"/>
        <v>5.4999999999999938E-2</v>
      </c>
    </row>
    <row r="85" spans="14:20" x14ac:dyDescent="0.3">
      <c r="N85">
        <v>82</v>
      </c>
      <c r="O85" s="16">
        <f t="shared" si="8"/>
        <v>0.04</v>
      </c>
      <c r="P85" s="134"/>
      <c r="R85" s="16">
        <f t="shared" si="9"/>
        <v>1.4999999999999999E-2</v>
      </c>
      <c r="S85" s="41">
        <f t="shared" si="10"/>
        <v>5.5E-2</v>
      </c>
      <c r="T85" s="110">
        <f t="shared" si="11"/>
        <v>5.4999999999999938E-2</v>
      </c>
    </row>
    <row r="86" spans="14:20" x14ac:dyDescent="0.3">
      <c r="N86">
        <v>83</v>
      </c>
      <c r="O86" s="16">
        <f t="shared" si="8"/>
        <v>0.04</v>
      </c>
      <c r="P86" s="134"/>
      <c r="R86" s="16">
        <f t="shared" si="9"/>
        <v>1.4999999999999999E-2</v>
      </c>
      <c r="S86" s="41">
        <f t="shared" si="10"/>
        <v>5.5E-2</v>
      </c>
      <c r="T86" s="110">
        <f t="shared" si="11"/>
        <v>5.4999999999999938E-2</v>
      </c>
    </row>
    <row r="87" spans="14:20" x14ac:dyDescent="0.3">
      <c r="N87">
        <v>84</v>
      </c>
      <c r="O87" s="16">
        <f t="shared" si="8"/>
        <v>0.04</v>
      </c>
      <c r="P87" s="134"/>
      <c r="R87" s="16">
        <f t="shared" si="9"/>
        <v>1.4999999999999999E-2</v>
      </c>
      <c r="S87" s="41">
        <f t="shared" si="10"/>
        <v>5.5E-2</v>
      </c>
      <c r="T87" s="110">
        <f t="shared" si="11"/>
        <v>5.500000000000016E-2</v>
      </c>
    </row>
    <row r="88" spans="14:20" x14ac:dyDescent="0.3">
      <c r="N88">
        <v>85</v>
      </c>
      <c r="O88" s="16">
        <f t="shared" si="8"/>
        <v>0.04</v>
      </c>
      <c r="P88" s="134"/>
      <c r="R88" s="16">
        <f t="shared" si="9"/>
        <v>1.4999999999999999E-2</v>
      </c>
      <c r="S88" s="41">
        <f t="shared" si="10"/>
        <v>5.5E-2</v>
      </c>
      <c r="T88" s="110">
        <f t="shared" si="11"/>
        <v>5.4999999999999938E-2</v>
      </c>
    </row>
    <row r="89" spans="14:20" x14ac:dyDescent="0.3">
      <c r="N89">
        <v>86</v>
      </c>
      <c r="O89" s="16">
        <f t="shared" si="8"/>
        <v>0.04</v>
      </c>
      <c r="P89" s="134"/>
      <c r="R89" s="16">
        <f t="shared" si="9"/>
        <v>1.4999999999999999E-2</v>
      </c>
      <c r="S89" s="41">
        <f t="shared" si="10"/>
        <v>5.5E-2</v>
      </c>
      <c r="T89" s="110">
        <f t="shared" si="11"/>
        <v>5.4999999999999938E-2</v>
      </c>
    </row>
    <row r="90" spans="14:20" x14ac:dyDescent="0.3">
      <c r="N90">
        <v>87</v>
      </c>
      <c r="O90" s="16">
        <f t="shared" si="8"/>
        <v>0.04</v>
      </c>
      <c r="P90" s="134"/>
      <c r="R90" s="16">
        <f t="shared" si="9"/>
        <v>1.4999999999999999E-2</v>
      </c>
      <c r="S90" s="41">
        <f t="shared" si="10"/>
        <v>5.5E-2</v>
      </c>
      <c r="T90" s="110">
        <f t="shared" si="11"/>
        <v>5.4999999999999938E-2</v>
      </c>
    </row>
    <row r="91" spans="14:20" x14ac:dyDescent="0.3">
      <c r="N91">
        <v>88</v>
      </c>
      <c r="O91" s="16">
        <f t="shared" si="8"/>
        <v>0.04</v>
      </c>
      <c r="P91" s="134"/>
      <c r="R91" s="16">
        <f t="shared" si="9"/>
        <v>1.4999999999999999E-2</v>
      </c>
      <c r="S91" s="41">
        <f t="shared" si="10"/>
        <v>5.5E-2</v>
      </c>
      <c r="T91" s="110">
        <f t="shared" si="11"/>
        <v>5.4999999999999938E-2</v>
      </c>
    </row>
    <row r="92" spans="14:20" x14ac:dyDescent="0.3">
      <c r="N92">
        <v>89</v>
      </c>
      <c r="O92" s="16">
        <f t="shared" si="8"/>
        <v>0.04</v>
      </c>
      <c r="P92" s="134"/>
      <c r="R92" s="16">
        <f t="shared" si="9"/>
        <v>1.4999999999999999E-2</v>
      </c>
      <c r="S92" s="41">
        <f t="shared" si="10"/>
        <v>5.5E-2</v>
      </c>
      <c r="T92" s="110">
        <f t="shared" si="11"/>
        <v>5.4999999999999938E-2</v>
      </c>
    </row>
    <row r="93" spans="14:20" x14ac:dyDescent="0.3">
      <c r="N93">
        <v>90</v>
      </c>
      <c r="O93" s="16">
        <f t="shared" si="8"/>
        <v>0.04</v>
      </c>
      <c r="P93" s="134"/>
      <c r="R93" s="16">
        <f t="shared" si="9"/>
        <v>1.4999999999999999E-2</v>
      </c>
      <c r="S93" s="41">
        <f t="shared" si="10"/>
        <v>5.5E-2</v>
      </c>
      <c r="T93" s="110">
        <f t="shared" si="11"/>
        <v>5.500000000000016E-2</v>
      </c>
    </row>
    <row r="94" spans="14:20" x14ac:dyDescent="0.3">
      <c r="N94">
        <v>91</v>
      </c>
      <c r="O94" s="16">
        <f t="shared" si="8"/>
        <v>0.04</v>
      </c>
      <c r="P94" s="134"/>
      <c r="R94" s="16">
        <f t="shared" si="9"/>
        <v>1.4999999999999999E-2</v>
      </c>
      <c r="S94" s="41">
        <f t="shared" si="10"/>
        <v>5.5E-2</v>
      </c>
      <c r="T94" s="110">
        <f t="shared" si="11"/>
        <v>5.4999999999999938E-2</v>
      </c>
    </row>
    <row r="95" spans="14:20" x14ac:dyDescent="0.3">
      <c r="N95">
        <v>92</v>
      </c>
      <c r="O95" s="16">
        <f t="shared" si="8"/>
        <v>0.04</v>
      </c>
      <c r="P95" s="134"/>
      <c r="R95" s="16">
        <f t="shared" si="9"/>
        <v>1.4999999999999999E-2</v>
      </c>
      <c r="S95" s="41">
        <f t="shared" si="10"/>
        <v>5.5E-2</v>
      </c>
      <c r="T95" s="110">
        <f t="shared" si="11"/>
        <v>5.4999999999999938E-2</v>
      </c>
    </row>
    <row r="96" spans="14:20" x14ac:dyDescent="0.3">
      <c r="N96">
        <v>93</v>
      </c>
      <c r="O96" s="16">
        <f t="shared" si="8"/>
        <v>0.04</v>
      </c>
      <c r="P96" s="134"/>
      <c r="R96" s="16">
        <f t="shared" si="9"/>
        <v>1.4999999999999999E-2</v>
      </c>
      <c r="S96" s="41">
        <f t="shared" si="10"/>
        <v>5.5E-2</v>
      </c>
      <c r="T96" s="110">
        <f t="shared" si="11"/>
        <v>5.4999999999999716E-2</v>
      </c>
    </row>
    <row r="97" spans="14:20" x14ac:dyDescent="0.3">
      <c r="N97">
        <v>94</v>
      </c>
      <c r="O97" s="16">
        <f t="shared" si="8"/>
        <v>0.04</v>
      </c>
      <c r="P97" s="134"/>
      <c r="R97" s="16">
        <f t="shared" si="9"/>
        <v>1.4999999999999999E-2</v>
      </c>
      <c r="S97" s="41">
        <f t="shared" si="10"/>
        <v>5.5E-2</v>
      </c>
      <c r="T97" s="110">
        <f t="shared" si="11"/>
        <v>5.4999999999999938E-2</v>
      </c>
    </row>
    <row r="98" spans="14:20" x14ac:dyDescent="0.3">
      <c r="N98">
        <v>95</v>
      </c>
      <c r="O98" s="16">
        <f t="shared" ref="O98:O103" si="12">IF(N98&gt;=ult_rate_year_IFRS17,ult_rate_IFRS17,(ult_rate_IFRS17-$O$33)/(ult_rate_year_IFRS17-obs_period_IFRS17)+O97)</f>
        <v>0.04</v>
      </c>
      <c r="P98" s="134"/>
      <c r="R98" s="16">
        <f t="shared" ref="R98:R103" si="13">IF(N98&gt;=ult_rate_year_IFRS17,liq_prem_ult_IFRS17,(liq_prem_ult_IFRS17-$R$33)/(ult_rate_year_IFRS17-obs_period_IFRS17)+R97)</f>
        <v>1.4999999999999999E-2</v>
      </c>
      <c r="S98" s="41">
        <f t="shared" si="10"/>
        <v>5.5E-2</v>
      </c>
      <c r="T98" s="110">
        <f t="shared" si="11"/>
        <v>5.4999999999999938E-2</v>
      </c>
    </row>
    <row r="99" spans="14:20" x14ac:dyDescent="0.3">
      <c r="N99">
        <v>96</v>
      </c>
      <c r="O99" s="16">
        <f t="shared" si="12"/>
        <v>0.04</v>
      </c>
      <c r="P99" s="134"/>
      <c r="R99" s="16">
        <f t="shared" si="13"/>
        <v>1.4999999999999999E-2</v>
      </c>
      <c r="S99" s="41">
        <f t="shared" si="10"/>
        <v>5.5E-2</v>
      </c>
      <c r="T99" s="110">
        <f t="shared" si="11"/>
        <v>5.4999999999999938E-2</v>
      </c>
    </row>
    <row r="100" spans="14:20" x14ac:dyDescent="0.3">
      <c r="N100">
        <v>97</v>
      </c>
      <c r="O100" s="16">
        <f t="shared" si="12"/>
        <v>0.04</v>
      </c>
      <c r="P100" s="134"/>
      <c r="R100" s="16">
        <f t="shared" si="13"/>
        <v>1.4999999999999999E-2</v>
      </c>
      <c r="S100" s="41">
        <f t="shared" si="10"/>
        <v>5.5E-2</v>
      </c>
      <c r="T100" s="110">
        <f t="shared" si="11"/>
        <v>5.4999999999999938E-2</v>
      </c>
    </row>
    <row r="101" spans="14:20" x14ac:dyDescent="0.3">
      <c r="N101">
        <v>98</v>
      </c>
      <c r="O101" s="16">
        <f t="shared" si="12"/>
        <v>0.04</v>
      </c>
      <c r="P101" s="134"/>
      <c r="R101" s="16">
        <f t="shared" si="13"/>
        <v>1.4999999999999999E-2</v>
      </c>
      <c r="S101" s="41">
        <f t="shared" si="10"/>
        <v>5.5E-2</v>
      </c>
      <c r="T101" s="110">
        <f t="shared" ref="T101:T103" si="14">IF($Z$2="À terme", ((1+S101)^N101)/((1+S100)^N100)-1,((((1+T100)^N100)*(1+S101))^(1/N101))-1)</f>
        <v>5.4999999999999938E-2</v>
      </c>
    </row>
    <row r="102" spans="14:20" x14ac:dyDescent="0.3">
      <c r="N102">
        <v>99</v>
      </c>
      <c r="O102" s="16">
        <f t="shared" si="12"/>
        <v>0.04</v>
      </c>
      <c r="P102" s="134"/>
      <c r="R102" s="16">
        <f t="shared" si="13"/>
        <v>1.4999999999999999E-2</v>
      </c>
      <c r="S102" s="41">
        <f t="shared" si="10"/>
        <v>5.5E-2</v>
      </c>
      <c r="T102" s="110">
        <f t="shared" si="14"/>
        <v>5.4999999999999716E-2</v>
      </c>
    </row>
    <row r="103" spans="14:20" x14ac:dyDescent="0.3">
      <c r="N103">
        <v>100</v>
      </c>
      <c r="O103" s="16">
        <f t="shared" si="12"/>
        <v>0.04</v>
      </c>
      <c r="P103" s="134"/>
      <c r="R103" s="16">
        <f t="shared" si="13"/>
        <v>1.4999999999999999E-2</v>
      </c>
      <c r="S103" s="41">
        <f t="shared" si="10"/>
        <v>5.5E-2</v>
      </c>
      <c r="T103" s="110">
        <f t="shared" si="14"/>
        <v>5.500000000000016E-2</v>
      </c>
    </row>
  </sheetData>
  <sheetProtection sheet="1" objects="1" scenarios="1"/>
  <conditionalFormatting sqref="K16">
    <cfRule type="expression" dxfId="1" priority="2">
      <formula>$K$16&lt;&gt;100%</formula>
    </cfRule>
  </conditionalFormatting>
  <conditionalFormatting sqref="C7">
    <cfRule type="expression" dxfId="0" priority="1">
      <formula>$C$7&lt;=$C$5</formula>
    </cfRule>
  </conditionalFormatting>
  <dataValidations xWindow="289" yWindow="502" count="8">
    <dataValidation type="list" allowBlank="1" showInputMessage="1" showErrorMessage="1" promptTitle="Type de taux d'intérêt" prompt="Veuillez choisir le type de courbe à construire." sqref="C4" xr:uid="{00000000-0002-0000-0600-000000000000}">
      <formula1>"À terme,Au comptant"</formula1>
    </dataValidation>
    <dataValidation type="decimal" allowBlank="1" showInputMessage="1" showErrorMessage="1" errorTitle="Ultimate Liquidity Premium" error="Value entered is out of range." promptTitle="Prime de liquidité ultime" prompt="Prime de liquidité ultime s'appliquant à la durée à partir de laquelle le taux ultime s'applique.  " sqref="C10" xr:uid="{00000000-0002-0000-0600-000001000000}">
      <formula1>0</formula1>
      <formula2>1</formula2>
    </dataValidation>
    <dataValidation type="decimal" allowBlank="1" showInputMessage="1" showErrorMessage="1" errorTitle="Liquidity Spread Ratio" error="Value entered is out of range." promptTitle="Ratio de l'écart de liquidité" prompt="Veuillez entrer le ratio de l'écart de liquidité. Ceci est la proportion de l'écart de crédit du portefeuille de référence correspondant à la liquidité." sqref="C8" xr:uid="{00000000-0002-0000-0600-000002000000}">
      <formula1>0</formula1>
      <formula2>1</formula2>
    </dataValidation>
    <dataValidation type="decimal" allowBlank="1" showInputMessage="1" showErrorMessage="1" errorTitle="Liquidity Premium Constant" error="Value entered is out of range." promptTitle="Constante de prime de liquidité" prompt="Ajustement additionel reflétant l'écart entre les caractéristiques de liquidité des contrats d'assurance et les actifs du portefeuille de référence." sqref="C9" xr:uid="{00000000-0002-0000-0600-000003000000}">
      <formula1>0</formula1>
      <formula2>1</formula2>
    </dataValidation>
    <dataValidation type="whole" allowBlank="1" showInputMessage="1" showErrorMessage="1" errorTitle="Ultimate Rate Timing" error="Value must be greater than observable period." promptTitle="Durée du taux ultime" prompt="Veuillez entrer un nombre entier pour préciser la durée à laquelle le taux ultime s'applique.  La durée du taux ultime doit être supérieure à la durée de la période observable." sqref="C7" xr:uid="{00000000-0002-0000-0600-000004000000}">
      <formula1>C5+1</formula1>
      <formula2>100</formula2>
    </dataValidation>
    <dataValidation type="decimal" allowBlank="1" showInputMessage="1" showErrorMessage="1" errorTitle="Ultimate Rate" error="Value entered is out of range." promptTitle="Taux sans risque ultime" prompt="Veuillez entrer le taux sans risque ultime, lequel sera utilisé à partir de la durée à laquelle la période ultime s'applique." sqref="C6" xr:uid="{00000000-0002-0000-0600-000005000000}">
      <formula1>0</formula1>
      <formula2>1</formula2>
    </dataValidation>
    <dataValidation type="whole" operator="equal" allowBlank="1" showInputMessage="1" showErrorMessage="1" errorTitle="Observable Period" error="Input value must be 30." promptTitle="Durée de la période observable" prompt="La période observable a été établie à 30 ans." sqref="C5" xr:uid="{00000000-0002-0000-0600-000006000000}">
      <formula1>30</formula1>
    </dataValidation>
    <dataValidation type="list" allowBlank="1" showDropDown="1" showInputMessage="1" showErrorMessage="1" error="Fixed to linear interpolation methodology" promptTitle="Méthode d'interpolation" prompt="Une méthode d'interpolation linéaire est utilisée.  Les compagnies peuvent choisir d'autres méthodes d'interpolation pour bâtir leur courbe de taux d'intérêt.  Veuillez vous référer à la section 3.2.1 du chapitre 1 de l'ébauche de note éducative._x000a_" sqref="C11" xr:uid="{00000000-0002-0000-0600-000007000000}">
      <formula1>"Linéaire"</formula1>
    </dataValidation>
  </dataValidations>
  <pageMargins left="0.7" right="0.7" top="0.75" bottom="0.75" header="0.3" footer="0.3"/>
  <pageSetup orientation="portrait" r:id="rId1"/>
  <headerFooter>
    <oddHeader>&amp;C&amp;G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64"/>
  <sheetViews>
    <sheetView showGridLines="0" tabSelected="1" view="pageLayout" zoomScaleNormal="75" workbookViewId="0">
      <selection activeCell="H2" sqref="H2"/>
    </sheetView>
  </sheetViews>
  <sheetFormatPr defaultColWidth="9.21875" defaultRowHeight="14.4" x14ac:dyDescent="0.3"/>
  <cols>
    <col min="2" max="2" width="2.77734375" customWidth="1"/>
    <col min="3" max="3" width="8.77734375" bestFit="1" customWidth="1"/>
    <col min="4" max="5" width="11.44140625" customWidth="1"/>
    <col min="6" max="6" width="15.21875" customWidth="1"/>
    <col min="7" max="7" width="11.44140625" customWidth="1"/>
    <col min="9" max="9" width="5" bestFit="1" customWidth="1"/>
    <col min="10" max="11" width="11.44140625" customWidth="1"/>
    <col min="12" max="12" width="2.77734375" customWidth="1"/>
    <col min="13" max="13" width="3.21875" customWidth="1"/>
    <col min="14" max="14" width="5.21875" customWidth="1"/>
    <col min="15" max="15" width="8.77734375" bestFit="1" customWidth="1"/>
    <col min="16" max="19" width="11.44140625" customWidth="1"/>
    <col min="21" max="21" width="5" bestFit="1" customWidth="1"/>
    <col min="22" max="23" width="11.44140625" customWidth="1"/>
    <col min="24" max="24" width="4.21875" customWidth="1"/>
    <col min="25" max="26" width="11.44140625" customWidth="1"/>
  </cols>
  <sheetData>
    <row r="1" spans="1:26" ht="18" x14ac:dyDescent="0.35">
      <c r="A1" s="2" t="s">
        <v>55</v>
      </c>
      <c r="B1" s="2"/>
    </row>
    <row r="2" spans="1:26" ht="15" thickBot="1" x14ac:dyDescent="0.35"/>
    <row r="3" spans="1:26" ht="15" thickBot="1" x14ac:dyDescent="0.35">
      <c r="C3" s="30" t="s">
        <v>26</v>
      </c>
      <c r="D3" s="31"/>
      <c r="E3" s="31"/>
      <c r="F3" s="31"/>
      <c r="G3" s="31"/>
      <c r="H3" s="31"/>
      <c r="I3" s="31"/>
      <c r="J3" s="31"/>
      <c r="K3" s="32"/>
      <c r="O3" s="33" t="s">
        <v>32</v>
      </c>
      <c r="P3" s="34"/>
      <c r="Q3" s="34"/>
      <c r="R3" s="34"/>
      <c r="S3" s="34"/>
      <c r="T3" s="34"/>
      <c r="U3" s="34"/>
      <c r="V3" s="34"/>
      <c r="W3" s="35"/>
      <c r="Y3" s="33" t="s">
        <v>40</v>
      </c>
      <c r="Z3" s="35"/>
    </row>
    <row r="4" spans="1:26" ht="43.8" thickBot="1" x14ac:dyDescent="0.35">
      <c r="C4" s="3" t="s">
        <v>33</v>
      </c>
      <c r="D4" s="3" t="s">
        <v>34</v>
      </c>
      <c r="E4" s="3" t="s">
        <v>35</v>
      </c>
      <c r="F4" s="3" t="s">
        <v>36</v>
      </c>
      <c r="G4" s="43" t="s">
        <v>37</v>
      </c>
      <c r="I4" s="3" t="s">
        <v>25</v>
      </c>
      <c r="J4" s="43" t="s">
        <v>38</v>
      </c>
      <c r="K4" s="43" t="s">
        <v>39</v>
      </c>
      <c r="O4" s="3" t="s">
        <v>33</v>
      </c>
      <c r="P4" s="3" t="s">
        <v>34</v>
      </c>
      <c r="Q4" s="3" t="s">
        <v>35</v>
      </c>
      <c r="R4" s="3" t="s">
        <v>36</v>
      </c>
      <c r="S4" s="43" t="s">
        <v>37</v>
      </c>
      <c r="U4" s="3" t="s">
        <v>25</v>
      </c>
      <c r="V4" s="43" t="s">
        <v>38</v>
      </c>
      <c r="W4" s="43" t="s">
        <v>39</v>
      </c>
      <c r="Y4" s="3" t="s">
        <v>31</v>
      </c>
      <c r="Z4" s="3" t="s">
        <v>41</v>
      </c>
    </row>
    <row r="5" spans="1:26" x14ac:dyDescent="0.3">
      <c r="B5" s="4">
        <v>1</v>
      </c>
      <c r="C5" s="3">
        <v>0.5</v>
      </c>
      <c r="D5" s="5">
        <f>VLOOKUP(C5,par_input_IFRS17,2,FALSE)</f>
        <v>4.2599999999999999E-3</v>
      </c>
      <c r="E5" s="8">
        <f>1/(1+G5/2)^B5</f>
        <v>0.9978745272569427</v>
      </c>
      <c r="F5" s="9"/>
      <c r="G5" s="20">
        <f>D5</f>
        <v>4.2599999999999999E-3</v>
      </c>
      <c r="I5" s="17">
        <v>1</v>
      </c>
      <c r="J5" s="21">
        <f>(1+VLOOKUP(I5,$C$5:$G$64,5,FALSE)/2)^2-1</f>
        <v>4.2645368999998379E-3</v>
      </c>
      <c r="K5" s="24">
        <f>J5</f>
        <v>4.2645368999998379E-3</v>
      </c>
      <c r="N5" s="4">
        <v>1</v>
      </c>
      <c r="O5" s="3">
        <v>0.5</v>
      </c>
      <c r="P5" s="38">
        <f>P6</f>
        <v>2.2076999999999999E-2</v>
      </c>
      <c r="Q5" s="8">
        <f>1/(1+S5/2)^N5</f>
        <v>0.98908201814273156</v>
      </c>
      <c r="R5" s="9"/>
      <c r="S5" s="20">
        <f>P5</f>
        <v>2.2076999999999999E-2</v>
      </c>
      <c r="U5" s="17">
        <v>1</v>
      </c>
      <c r="V5" s="21">
        <f>(1+VLOOKUP(U5,$O$5:$S$64,5,FALSE)/2)^2-1</f>
        <v>2.2198848482249955E-2</v>
      </c>
      <c r="W5" s="24">
        <f>V5</f>
        <v>2.2198848482249955E-2</v>
      </c>
      <c r="Y5" s="21">
        <f>V5-J5</f>
        <v>1.7934311582250118E-2</v>
      </c>
      <c r="Z5" s="24">
        <f>W5-K5</f>
        <v>1.7934311582250118E-2</v>
      </c>
    </row>
    <row r="6" spans="1:26" x14ac:dyDescent="0.3">
      <c r="B6" s="4">
        <v>2</v>
      </c>
      <c r="C6" s="3">
        <v>1</v>
      </c>
      <c r="D6" s="6">
        <f>VLOOKUP(C6,par_input_IFRS17,2,FALSE)</f>
        <v>4.2599999999999999E-3</v>
      </c>
      <c r="E6" s="10">
        <f t="shared" ref="E6:E64" si="0">1/(1+G6/2)^B6</f>
        <v>0.9957535721482671</v>
      </c>
      <c r="F6" s="10">
        <f>D6/2*SUM($E$5:E5)</f>
        <v>2.1254727430572878E-3</v>
      </c>
      <c r="G6" s="18">
        <f>(((1+D6/2)/(1-F6))^(1/B6)-1)*2</f>
        <v>4.2599999999999305E-3</v>
      </c>
      <c r="I6" s="17">
        <v>2</v>
      </c>
      <c r="J6" s="22">
        <f t="shared" ref="J6:J34" si="1">(1+VLOOKUP(I6,$C$5:$G$64,5,FALSE)/2)^2-1</f>
        <v>4.5659707931942073E-3</v>
      </c>
      <c r="K6" s="25">
        <f>((1+J6)^I6)/((1+J5)^I5)-1</f>
        <v>4.8674951629399388E-3</v>
      </c>
      <c r="N6" s="4">
        <v>2</v>
      </c>
      <c r="O6" s="3">
        <v>1</v>
      </c>
      <c r="P6" s="6">
        <f>(VLOOKUP(O6,par_input_IFRS17,2,FALSE)+VLOOKUP(O6,spread_input_IFRS17,2,FALSE))</f>
        <v>2.2076999999999999E-2</v>
      </c>
      <c r="Q6" s="10">
        <f t="shared" ref="Q6:Q64" si="2">1/(1+S6/2)^N6</f>
        <v>0.97828323861329858</v>
      </c>
      <c r="R6" s="10">
        <f>P6/2*SUM($Q$5:Q5)</f>
        <v>1.0917981857268543E-2</v>
      </c>
      <c r="S6" s="18">
        <f>(((1+P6/2)/(1-R6))^(1/N6)-1)*2</f>
        <v>2.2076999999999902E-2</v>
      </c>
      <c r="U6" s="17">
        <v>2</v>
      </c>
      <c r="V6" s="22">
        <f t="shared" ref="V6:V34" si="3">(1+VLOOKUP(U6,$O$5:$S$64,5,FALSE)/2)^2-1</f>
        <v>2.305010028429999E-2</v>
      </c>
      <c r="W6" s="25">
        <f>((1+V6)^U6)/((1+V5)^U5)-1</f>
        <v>2.3902060979371864E-2</v>
      </c>
      <c r="Y6" s="22">
        <f t="shared" ref="Y6:Z34" si="4">V6-J6</f>
        <v>1.8484129491105783E-2</v>
      </c>
      <c r="Z6" s="25">
        <f t="shared" si="4"/>
        <v>1.9034565816431925E-2</v>
      </c>
    </row>
    <row r="7" spans="1:26" x14ac:dyDescent="0.3">
      <c r="B7" s="4">
        <v>3</v>
      </c>
      <c r="C7" s="3">
        <v>1.5</v>
      </c>
      <c r="D7" s="12">
        <f>AVERAGE(D6,D8)</f>
        <v>4.4099999999999999E-3</v>
      </c>
      <c r="E7" s="10">
        <f t="shared" si="0"/>
        <v>0.99341357311209944</v>
      </c>
      <c r="F7" s="10">
        <f>D7/2*SUM($E$5:E6)</f>
        <v>4.3959499591884879E-3</v>
      </c>
      <c r="G7" s="18">
        <f t="shared" ref="G7:G64" si="5">(((1+D7/2)/(1-F7))^(1/B7)-1)*2</f>
        <v>4.4103310262340045E-3</v>
      </c>
      <c r="I7" s="17">
        <v>3</v>
      </c>
      <c r="J7" s="22">
        <f t="shared" si="1"/>
        <v>5.1402246110214822E-3</v>
      </c>
      <c r="K7" s="25">
        <f t="shared" ref="K7:K34" si="6">((1+J7)^I7)/((1+J6)^I6)-1</f>
        <v>6.2897172400764312E-3</v>
      </c>
      <c r="N7" s="4">
        <v>3</v>
      </c>
      <c r="O7" s="3">
        <v>1.5</v>
      </c>
      <c r="P7" s="12">
        <f>AVERAGE(P6,P8)</f>
        <v>2.2492499999999999E-2</v>
      </c>
      <c r="Q7" s="10">
        <f t="shared" si="2"/>
        <v>0.96699940146250962</v>
      </c>
      <c r="R7" s="10">
        <f>P7/2*SUM($Q$5:Q6)</f>
        <v>2.2125481518792504E-2</v>
      </c>
      <c r="S7" s="18">
        <f t="shared" ref="S7:S64" si="7">(((1+P7/2)/(1-R7))^(1/N7)-1)*2</f>
        <v>2.24971916397676E-2</v>
      </c>
      <c r="U7" s="17">
        <v>3</v>
      </c>
      <c r="V7" s="22">
        <f t="shared" si="3"/>
        <v>2.4080988413381244E-2</v>
      </c>
      <c r="W7" s="25">
        <f t="shared" ref="W7:W34" si="8">((1+V7)^U7)/((1+V6)^U6)-1</f>
        <v>2.6145882076913596E-2</v>
      </c>
      <c r="Y7" s="22">
        <f t="shared" si="4"/>
        <v>1.8940763802359761E-2</v>
      </c>
      <c r="Z7" s="25">
        <f t="shared" si="4"/>
        <v>1.9856164836837165E-2</v>
      </c>
    </row>
    <row r="8" spans="1:26" x14ac:dyDescent="0.3">
      <c r="B8" s="4">
        <v>4</v>
      </c>
      <c r="C8" s="3">
        <v>2</v>
      </c>
      <c r="D8" s="6">
        <f>VLOOKUP(C8,par_input_IFRS17,2,FALSE)</f>
        <v>4.5599999999999998E-3</v>
      </c>
      <c r="E8" s="10">
        <f t="shared" si="0"/>
        <v>0.99093022407576725</v>
      </c>
      <c r="F8" s="10">
        <f>D8/2*SUM($E$5:E7)</f>
        <v>6.8104550133394641E-3</v>
      </c>
      <c r="G8" s="18">
        <f t="shared" si="5"/>
        <v>4.5607706359955813E-3</v>
      </c>
      <c r="I8" s="17">
        <v>4</v>
      </c>
      <c r="J8" s="22">
        <f t="shared" si="1"/>
        <v>5.8479211722266555E-3</v>
      </c>
      <c r="K8" s="25">
        <f t="shared" si="6"/>
        <v>7.9740018985008376E-3</v>
      </c>
      <c r="N8" s="4">
        <v>4</v>
      </c>
      <c r="O8" s="3">
        <v>2</v>
      </c>
      <c r="P8" s="6">
        <f>(VLOOKUP(O8,par_input_IFRS17,2,FALSE)+VLOOKUP(O8,spread_input_IFRS17,2,FALSE))</f>
        <v>2.2907999999999998E-2</v>
      </c>
      <c r="Q8" s="10">
        <f t="shared" si="2"/>
        <v>0.95544610748957925</v>
      </c>
      <c r="R8" s="10">
        <f>P8/2*SUM($Q$5:Q7)</f>
        <v>3.3610212795235149E-2</v>
      </c>
      <c r="S8" s="18">
        <f t="shared" si="7"/>
        <v>2.2918782634933077E-2</v>
      </c>
      <c r="U8" s="17">
        <v>4</v>
      </c>
      <c r="V8" s="22">
        <f t="shared" si="3"/>
        <v>2.5077116275919797E-2</v>
      </c>
      <c r="W8" s="25">
        <f t="shared" si="8"/>
        <v>2.8071317260851547E-2</v>
      </c>
      <c r="Y8" s="22">
        <f t="shared" si="4"/>
        <v>1.9229195103693142E-2</v>
      </c>
      <c r="Z8" s="25">
        <f t="shared" si="4"/>
        <v>2.0097315362350709E-2</v>
      </c>
    </row>
    <row r="9" spans="1:26" x14ac:dyDescent="0.3">
      <c r="B9" s="4">
        <v>5</v>
      </c>
      <c r="C9" s="3">
        <v>2.5</v>
      </c>
      <c r="D9" s="12">
        <f>AVERAGE(D8,D10)</f>
        <v>4.8450000000000003E-3</v>
      </c>
      <c r="E9" s="10">
        <f t="shared" si="0"/>
        <v>0.98797000574159421</v>
      </c>
      <c r="F9" s="10">
        <f>D9/2*SUM($E$5:E8)</f>
        <v>9.6366369194967275E-3</v>
      </c>
      <c r="G9" s="18">
        <f t="shared" si="5"/>
        <v>4.8470400794791146E-3</v>
      </c>
      <c r="I9" s="17">
        <v>5</v>
      </c>
      <c r="J9" s="22">
        <f t="shared" si="1"/>
        <v>6.1612764103673445E-3</v>
      </c>
      <c r="K9" s="25">
        <f t="shared" si="6"/>
        <v>7.4156738733737182E-3</v>
      </c>
      <c r="N9" s="4">
        <v>5</v>
      </c>
      <c r="O9" s="3">
        <v>2.5</v>
      </c>
      <c r="P9" s="12">
        <f>AVERAGE(P8,P10)</f>
        <v>2.3406499999999997E-2</v>
      </c>
      <c r="Q9" s="10">
        <f t="shared" si="2"/>
        <v>0.94343531283133342</v>
      </c>
      <c r="R9" s="10">
        <f>P9/2*SUM($Q$5:Q8)</f>
        <v>4.5523427843773535E-2</v>
      </c>
      <c r="S9" s="18">
        <f t="shared" si="7"/>
        <v>2.3427136498130441E-2</v>
      </c>
      <c r="U9" s="17">
        <v>5</v>
      </c>
      <c r="V9" s="22">
        <f t="shared" si="3"/>
        <v>2.5863138858274626E-2</v>
      </c>
      <c r="W9" s="25">
        <f t="shared" si="8"/>
        <v>2.9013260981995748E-2</v>
      </c>
      <c r="Y9" s="22">
        <f t="shared" si="4"/>
        <v>1.9701862447907281E-2</v>
      </c>
      <c r="Z9" s="25">
        <f t="shared" si="4"/>
        <v>2.1597587108622029E-2</v>
      </c>
    </row>
    <row r="10" spans="1:26" x14ac:dyDescent="0.3">
      <c r="B10" s="4">
        <v>6</v>
      </c>
      <c r="C10" s="3">
        <v>3</v>
      </c>
      <c r="D10" s="6">
        <f>VLOOKUP(C10,par_input_IFRS17,2,FALSE)</f>
        <v>5.13E-3</v>
      </c>
      <c r="E10" s="10">
        <f t="shared" si="0"/>
        <v>0.98473650987268835</v>
      </c>
      <c r="F10" s="10">
        <f>D10/2*SUM($E$5:E9)</f>
        <v>1.2737640979488431E-2</v>
      </c>
      <c r="G10" s="18">
        <f t="shared" si="5"/>
        <v>5.1336360562319605E-3</v>
      </c>
      <c r="I10" s="17">
        <v>6</v>
      </c>
      <c r="J10" s="22">
        <f t="shared" si="1"/>
        <v>6.4299147069000195E-3</v>
      </c>
      <c r="K10" s="25">
        <f t="shared" si="6"/>
        <v>7.7741824419268468E-3</v>
      </c>
      <c r="N10" s="4">
        <v>6</v>
      </c>
      <c r="O10" s="3">
        <v>3</v>
      </c>
      <c r="P10" s="6">
        <f>(VLOOKUP(O10,par_input_IFRS17,2,FALSE)+VLOOKUP(O10,spread_input_IFRS17,2,FALSE))</f>
        <v>2.3904999999999999E-2</v>
      </c>
      <c r="Q10" s="10">
        <f t="shared" si="2"/>
        <v>0.93110163396627543</v>
      </c>
      <c r="R10" s="10">
        <f>P10/2*SUM($Q$5:Q9)</f>
        <v>5.7769373753742803E-2</v>
      </c>
      <c r="S10" s="18">
        <f t="shared" si="7"/>
        <v>2.3937734628594054E-2</v>
      </c>
      <c r="U10" s="17">
        <v>6</v>
      </c>
      <c r="V10" s="22">
        <f t="shared" si="3"/>
        <v>2.6917855827870651E-2</v>
      </c>
      <c r="W10" s="25">
        <f t="shared" si="8"/>
        <v>3.2207728726011853E-2</v>
      </c>
      <c r="Y10" s="22">
        <f t="shared" si="4"/>
        <v>2.0487941120970632E-2</v>
      </c>
      <c r="Z10" s="25">
        <f t="shared" si="4"/>
        <v>2.4433546284085006E-2</v>
      </c>
    </row>
    <row r="11" spans="1:26" x14ac:dyDescent="0.3">
      <c r="B11" s="4">
        <v>7</v>
      </c>
      <c r="C11" s="3">
        <v>3.5</v>
      </c>
      <c r="D11" s="12">
        <f>AVERAGE(D10,D12)</f>
        <v>5.4799999999999996E-3</v>
      </c>
      <c r="E11" s="10">
        <f t="shared" si="0"/>
        <v>0.98100718147331567</v>
      </c>
      <c r="F11" s="10">
        <f>D11/2*SUM($E$5:E10)</f>
        <v>1.6304858849448163E-2</v>
      </c>
      <c r="G11" s="18">
        <f t="shared" si="5"/>
        <v>5.4862248990712459E-3</v>
      </c>
      <c r="I11" s="17">
        <v>7</v>
      </c>
      <c r="J11" s="22">
        <f t="shared" si="1"/>
        <v>6.6996571431408025E-3</v>
      </c>
      <c r="K11" s="25">
        <f t="shared" si="6"/>
        <v>8.3196306575576973E-3</v>
      </c>
      <c r="N11" s="4">
        <v>7</v>
      </c>
      <c r="O11" s="3">
        <v>3.5</v>
      </c>
      <c r="P11" s="12">
        <f>AVERAGE(P10,P12)</f>
        <v>2.4382000000000001E-2</v>
      </c>
      <c r="Q11" s="10">
        <f t="shared" si="2"/>
        <v>0.91852904939566071</v>
      </c>
      <c r="R11" s="10">
        <f>P11/2*SUM($Q$5:Q10)</f>
        <v>7.0273162963157332E-2</v>
      </c>
      <c r="S11" s="18">
        <f t="shared" si="7"/>
        <v>2.4428483290429792E-2</v>
      </c>
      <c r="U11" s="17">
        <v>7</v>
      </c>
      <c r="V11" s="22">
        <f t="shared" si="3"/>
        <v>2.7987240389309331E-2</v>
      </c>
      <c r="W11" s="25">
        <f t="shared" si="8"/>
        <v>3.4426974144044831E-2</v>
      </c>
      <c r="Y11" s="22">
        <f t="shared" si="4"/>
        <v>2.1287583246168529E-2</v>
      </c>
      <c r="Z11" s="25">
        <f t="shared" si="4"/>
        <v>2.6107343486487133E-2</v>
      </c>
    </row>
    <row r="12" spans="1:26" x14ac:dyDescent="0.3">
      <c r="B12" s="4">
        <v>8</v>
      </c>
      <c r="C12" s="3">
        <v>4</v>
      </c>
      <c r="D12" s="6">
        <f>VLOOKUP(C12,par_input_IFRS17,2,FALSE)</f>
        <v>5.8299999999999992E-3</v>
      </c>
      <c r="E12" s="10">
        <f t="shared" si="0"/>
        <v>0.9769463379193859</v>
      </c>
      <c r="F12" s="10">
        <f>D12/2*SUM($E$5:E11)</f>
        <v>2.0205863505579166E-2</v>
      </c>
      <c r="G12" s="18">
        <f t="shared" si="5"/>
        <v>5.8393965342555809E-3</v>
      </c>
      <c r="I12" s="17">
        <v>8</v>
      </c>
      <c r="J12" s="22">
        <f t="shared" si="1"/>
        <v>6.76944500168708E-3</v>
      </c>
      <c r="K12" s="25">
        <f t="shared" si="6"/>
        <v>7.2580954924093E-3</v>
      </c>
      <c r="N12" s="4">
        <v>8</v>
      </c>
      <c r="O12" s="3">
        <v>4</v>
      </c>
      <c r="P12" s="6">
        <f>(VLOOKUP(O12,par_input_IFRS17,2,FALSE)+VLOOKUP(O12,spread_input_IFRS17,2,FALSE))</f>
        <v>2.4859000000000003E-2</v>
      </c>
      <c r="Q12" s="10">
        <f t="shared" si="2"/>
        <v>0.90567805786767974</v>
      </c>
      <c r="R12" s="10">
        <f>P12/2*SUM($Q$5:Q11)</f>
        <v>8.3064816712053319E-2</v>
      </c>
      <c r="S12" s="18">
        <f t="shared" si="7"/>
        <v>2.4921841727151506E-2</v>
      </c>
      <c r="U12" s="17">
        <v>8</v>
      </c>
      <c r="V12" s="22">
        <f t="shared" si="3"/>
        <v>2.8789352024478854E-2</v>
      </c>
      <c r="W12" s="25">
        <f t="shared" si="8"/>
        <v>3.4421685114963685E-2</v>
      </c>
      <c r="Y12" s="22">
        <f t="shared" si="4"/>
        <v>2.2019907022791774E-2</v>
      </c>
      <c r="Z12" s="25">
        <f t="shared" si="4"/>
        <v>2.7163589622554385E-2</v>
      </c>
    </row>
    <row r="13" spans="1:26" x14ac:dyDescent="0.3">
      <c r="B13" s="4">
        <v>9</v>
      </c>
      <c r="C13" s="3">
        <v>4.5</v>
      </c>
      <c r="D13" s="12">
        <f>AVERAGE(D12,D14)</f>
        <v>5.984999999999999E-3</v>
      </c>
      <c r="E13" s="10">
        <f t="shared" si="0"/>
        <v>0.97342045822345291</v>
      </c>
      <c r="F13" s="10">
        <f>D13/2*SUM($E$5:E12)</f>
        <v>2.3666581055313177E-2</v>
      </c>
      <c r="G13" s="18">
        <f t="shared" si="5"/>
        <v>5.9954494392453483E-3</v>
      </c>
      <c r="I13" s="17">
        <v>9</v>
      </c>
      <c r="J13" s="22">
        <f t="shared" si="1"/>
        <v>7.2645813018876737E-3</v>
      </c>
      <c r="K13" s="25">
        <f t="shared" si="6"/>
        <v>1.123444818546071E-2</v>
      </c>
      <c r="N13" s="4">
        <v>9</v>
      </c>
      <c r="O13" s="3">
        <v>4.5</v>
      </c>
      <c r="P13" s="12">
        <f>AVERAGE(P12,P14)</f>
        <v>2.5232500000000001E-2</v>
      </c>
      <c r="Q13" s="10">
        <f t="shared" si="2"/>
        <v>0.89299465148331236</v>
      </c>
      <c r="R13" s="10">
        <f>P13/2*SUM($Q$5:Q12)</f>
        <v>9.5739104744911513E-2</v>
      </c>
      <c r="S13" s="18">
        <f t="shared" si="7"/>
        <v>2.5308725222567219E-2</v>
      </c>
      <c r="U13" s="17">
        <v>9</v>
      </c>
      <c r="V13" s="22">
        <f t="shared" si="3"/>
        <v>2.967800267936882E-2</v>
      </c>
      <c r="W13" s="25">
        <f t="shared" si="8"/>
        <v>3.6814897330928131E-2</v>
      </c>
      <c r="Y13" s="22">
        <f t="shared" si="4"/>
        <v>2.2413421377481146E-2</v>
      </c>
      <c r="Z13" s="25">
        <f t="shared" si="4"/>
        <v>2.5580449145467421E-2</v>
      </c>
    </row>
    <row r="14" spans="1:26" x14ac:dyDescent="0.3">
      <c r="B14" s="4">
        <v>10</v>
      </c>
      <c r="C14" s="3">
        <v>5</v>
      </c>
      <c r="D14" s="6">
        <f>VLOOKUP(C14,par_input_IFRS17,2,FALSE)</f>
        <v>6.1399999999999996E-3</v>
      </c>
      <c r="E14" s="10">
        <f t="shared" si="0"/>
        <v>0.96975495146225243</v>
      </c>
      <c r="F14" s="10">
        <f>D14/2*SUM($E$5:E13)</f>
        <v>2.7267900836758185E-2</v>
      </c>
      <c r="G14" s="18">
        <f t="shared" si="5"/>
        <v>6.1518152027950634E-3</v>
      </c>
      <c r="I14" s="17">
        <v>10</v>
      </c>
      <c r="J14" s="22">
        <f t="shared" si="1"/>
        <v>7.8147374224597499E-3</v>
      </c>
      <c r="K14" s="25">
        <f t="shared" si="6"/>
        <v>1.2779684218678922E-2</v>
      </c>
      <c r="N14" s="4">
        <v>10</v>
      </c>
      <c r="O14" s="3">
        <v>5</v>
      </c>
      <c r="P14" s="6">
        <f>(VLOOKUP(O14,par_input_IFRS17,2,FALSE)+VLOOKUP(O14,spread_input_IFRS17,2,FALSE))</f>
        <v>2.5606E-2</v>
      </c>
      <c r="Q14" s="10">
        <f t="shared" si="2"/>
        <v>0.88014226075510815</v>
      </c>
      <c r="R14" s="10">
        <f>P14/2*SUM($Q$5:Q13)</f>
        <v>0.10858927788044423</v>
      </c>
      <c r="S14" s="18">
        <f t="shared" si="7"/>
        <v>2.5698041523735782E-2</v>
      </c>
      <c r="U14" s="17">
        <v>10</v>
      </c>
      <c r="V14" s="22">
        <f t="shared" si="3"/>
        <v>3.0492330178764515E-2</v>
      </c>
      <c r="W14" s="25">
        <f t="shared" si="8"/>
        <v>3.785031960424412E-2</v>
      </c>
      <c r="Y14" s="22">
        <f t="shared" si="4"/>
        <v>2.2677592756304765E-2</v>
      </c>
      <c r="Z14" s="25">
        <f t="shared" si="4"/>
        <v>2.5070635385565199E-2</v>
      </c>
    </row>
    <row r="15" spans="1:26" x14ac:dyDescent="0.3">
      <c r="B15" s="4">
        <v>11</v>
      </c>
      <c r="C15" s="3">
        <v>5.5</v>
      </c>
      <c r="D15" s="12">
        <f>($D$18-$D$14)/($B$18-$B$14)+D14</f>
        <v>6.2725000000000003E-3</v>
      </c>
      <c r="E15" s="10">
        <f t="shared" si="0"/>
        <v>0.96607242458428932</v>
      </c>
      <c r="F15" s="10">
        <f>D15/2*SUM($E$5:E14)</f>
        <v>3.0897730774107488E-2</v>
      </c>
      <c r="G15" s="18">
        <f t="shared" si="5"/>
        <v>6.2855790055329486E-3</v>
      </c>
      <c r="I15" s="17">
        <v>11</v>
      </c>
      <c r="J15" s="22">
        <f t="shared" si="1"/>
        <v>8.4995556160289976E-3</v>
      </c>
      <c r="K15" s="25">
        <f t="shared" si="6"/>
        <v>1.5373383465899115E-2</v>
      </c>
      <c r="N15" s="4">
        <v>11</v>
      </c>
      <c r="O15" s="3">
        <v>5.5</v>
      </c>
      <c r="P15" s="12">
        <f>($P$18-$P$14)/($N$18-$N$14)+P14</f>
        <v>2.6098E-2</v>
      </c>
      <c r="Q15" s="10">
        <f t="shared" si="2"/>
        <v>0.86653190969936733</v>
      </c>
      <c r="R15" s="10">
        <f>P15/2*SUM($Q$5:Q14)</f>
        <v>0.12216071541096571</v>
      </c>
      <c r="S15" s="18">
        <f t="shared" si="7"/>
        <v>2.6216953228538564E-2</v>
      </c>
      <c r="U15" s="17">
        <v>11</v>
      </c>
      <c r="V15" s="22">
        <f t="shared" si="3"/>
        <v>3.1406644356145597E-2</v>
      </c>
      <c r="W15" s="25">
        <f t="shared" si="8"/>
        <v>4.0594522973860681E-2</v>
      </c>
      <c r="Y15" s="22">
        <f t="shared" si="4"/>
        <v>2.2907088740116599E-2</v>
      </c>
      <c r="Z15" s="25">
        <f t="shared" si="4"/>
        <v>2.5221139507961565E-2</v>
      </c>
    </row>
    <row r="16" spans="1:26" x14ac:dyDescent="0.3">
      <c r="B16" s="4">
        <v>12</v>
      </c>
      <c r="C16" s="3">
        <v>6</v>
      </c>
      <c r="D16" s="12">
        <f>($D$18-$D$14)/($B$18-$B$14)+D15</f>
        <v>6.405000000000001E-3</v>
      </c>
      <c r="E16" s="10">
        <f t="shared" si="0"/>
        <v>0.96227405738103911</v>
      </c>
      <c r="F16" s="10">
        <f>D16/2*SUM($E$5:E15)</f>
        <v>3.4644259950198861E-2</v>
      </c>
      <c r="G16" s="18">
        <f t="shared" si="5"/>
        <v>6.4196118528148105E-3</v>
      </c>
      <c r="I16" s="17">
        <v>12</v>
      </c>
      <c r="J16" s="22">
        <f t="shared" si="1"/>
        <v>9.1901077640226259E-3</v>
      </c>
      <c r="K16" s="25">
        <f t="shared" si="6"/>
        <v>1.6817460389976002E-2</v>
      </c>
      <c r="N16" s="4">
        <v>12</v>
      </c>
      <c r="O16" s="3">
        <v>6</v>
      </c>
      <c r="P16" s="12">
        <f>($P$18-$P$14)/($N$18-$N$14)+P15</f>
        <v>2.6589999999999999E-2</v>
      </c>
      <c r="Q16" s="10">
        <f t="shared" si="2"/>
        <v>0.8526793941384373</v>
      </c>
      <c r="R16" s="10">
        <f>P16/2*SUM($Q$5:Q15)</f>
        <v>0.13598423331649262</v>
      </c>
      <c r="S16" s="18">
        <f t="shared" si="7"/>
        <v>2.6739110816062173E-2</v>
      </c>
      <c r="U16" s="17">
        <v>12</v>
      </c>
      <c r="V16" s="22">
        <f t="shared" si="3"/>
        <v>3.233932019467689E-2</v>
      </c>
      <c r="W16" s="25">
        <f t="shared" si="8"/>
        <v>4.2654586680941131E-2</v>
      </c>
      <c r="Y16" s="22">
        <f t="shared" si="4"/>
        <v>2.3149212430654265E-2</v>
      </c>
      <c r="Z16" s="25">
        <f t="shared" si="4"/>
        <v>2.5837126290965129E-2</v>
      </c>
    </row>
    <row r="17" spans="2:26" x14ac:dyDescent="0.3">
      <c r="B17" s="4">
        <v>13</v>
      </c>
      <c r="C17" s="3">
        <v>6.5</v>
      </c>
      <c r="D17" s="12">
        <f>($D$18-$D$14)/($B$18-$B$14)+D16</f>
        <v>6.5375000000000016E-3</v>
      </c>
      <c r="E17" s="10">
        <f t="shared" si="0"/>
        <v>0.95836097973773149</v>
      </c>
      <c r="F17" s="10">
        <f>D17/2*SUM($E$5:E16)</f>
        <v>3.8506377809752031E-2</v>
      </c>
      <c r="G17" s="18">
        <f t="shared" si="5"/>
        <v>6.553909864315699E-3</v>
      </c>
      <c r="I17" s="17">
        <v>13</v>
      </c>
      <c r="J17" s="22">
        <f t="shared" si="1"/>
        <v>9.8870364705685443E-3</v>
      </c>
      <c r="K17" s="25">
        <f t="shared" si="6"/>
        <v>1.828781652130651E-2</v>
      </c>
      <c r="N17" s="4">
        <v>13</v>
      </c>
      <c r="O17" s="3">
        <v>6.5</v>
      </c>
      <c r="P17" s="12">
        <f>($P$18-$P$14)/($N$18-$N$14)+P16</f>
        <v>2.7081999999999998E-2</v>
      </c>
      <c r="Q17" s="10">
        <f t="shared" si="2"/>
        <v>0.83859803598632898</v>
      </c>
      <c r="R17" s="10">
        <f>P17/2*SUM($Q$5:Q16)</f>
        <v>0.1500465080083811</v>
      </c>
      <c r="S17" s="18">
        <f t="shared" si="7"/>
        <v>2.7264752287910365E-2</v>
      </c>
      <c r="U17" s="17">
        <v>13</v>
      </c>
      <c r="V17" s="22">
        <f t="shared" si="3"/>
        <v>3.3292130842075718E-2</v>
      </c>
      <c r="W17" s="25">
        <f t="shared" si="8"/>
        <v>4.4794685157370395E-2</v>
      </c>
      <c r="Y17" s="22">
        <f t="shared" si="4"/>
        <v>2.3405094371507174E-2</v>
      </c>
      <c r="Z17" s="25">
        <f t="shared" si="4"/>
        <v>2.6506868636063885E-2</v>
      </c>
    </row>
    <row r="18" spans="2:26" x14ac:dyDescent="0.3">
      <c r="B18" s="4">
        <v>14</v>
      </c>
      <c r="C18" s="3">
        <v>7</v>
      </c>
      <c r="D18" s="6">
        <f>VLOOKUP(C18,par_input_IFRS17,2,FALSE)</f>
        <v>6.6700000000000006E-3</v>
      </c>
      <c r="E18" s="10">
        <f t="shared" si="0"/>
        <v>0.95433434808118245</v>
      </c>
      <c r="F18" s="10">
        <f>D18/2*SUM($E$5:E17)</f>
        <v>4.2482946867967747E-2</v>
      </c>
      <c r="G18" s="18">
        <f t="shared" si="5"/>
        <v>6.6884732246217382E-3</v>
      </c>
      <c r="I18" s="17">
        <v>14</v>
      </c>
      <c r="J18" s="22">
        <f t="shared" si="1"/>
        <v>1.0591018189858969E-2</v>
      </c>
      <c r="K18" s="25">
        <f t="shared" si="6"/>
        <v>1.9787562486437205E-2</v>
      </c>
      <c r="N18" s="4">
        <v>14</v>
      </c>
      <c r="O18" s="3">
        <v>7</v>
      </c>
      <c r="P18" s="6">
        <f>(VLOOKUP(O18,par_input_IFRS17,2,FALSE)+VLOOKUP(O18,spread_input_IFRS17,2,FALSE))</f>
        <v>2.7574000000000001E-2</v>
      </c>
      <c r="Q18" s="10">
        <f t="shared" si="2"/>
        <v>0.82430119810439217</v>
      </c>
      <c r="R18" s="10">
        <f>P18/2*SUM($Q$5:Q17)</f>
        <v>0.16433416127734257</v>
      </c>
      <c r="S18" s="18">
        <f t="shared" si="7"/>
        <v>2.7794112220774103E-2</v>
      </c>
      <c r="U18" s="17">
        <v>14</v>
      </c>
      <c r="V18" s="22">
        <f t="shared" si="3"/>
        <v>3.4267060060169552E-2</v>
      </c>
      <c r="W18" s="25">
        <f t="shared" si="8"/>
        <v>4.7025164148370102E-2</v>
      </c>
      <c r="Y18" s="22">
        <f t="shared" si="4"/>
        <v>2.3676041870310582E-2</v>
      </c>
      <c r="Z18" s="25">
        <f t="shared" si="4"/>
        <v>2.7237601661932898E-2</v>
      </c>
    </row>
    <row r="19" spans="2:26" x14ac:dyDescent="0.3">
      <c r="B19" s="4">
        <v>15</v>
      </c>
      <c r="C19" s="3">
        <v>7.5</v>
      </c>
      <c r="D19" s="12">
        <f>AVERAGE(D18,D20)</f>
        <v>6.7050000000000009E-3</v>
      </c>
      <c r="E19" s="10">
        <f t="shared" si="0"/>
        <v>0.95090680814672712</v>
      </c>
      <c r="F19" s="10">
        <f>D19/2*SUM($E$5:E18)</f>
        <v>4.5905276778962216E-2</v>
      </c>
      <c r="G19" s="18">
        <f t="shared" si="5"/>
        <v>6.7231702972079255E-3</v>
      </c>
      <c r="I19" s="17">
        <v>15</v>
      </c>
      <c r="J19" s="22">
        <f t="shared" si="1"/>
        <v>1.1302770569539655E-2</v>
      </c>
      <c r="K19" s="25">
        <f t="shared" si="6"/>
        <v>2.1320099510378165E-2</v>
      </c>
      <c r="N19" s="4">
        <v>15</v>
      </c>
      <c r="O19" s="3">
        <v>7.5</v>
      </c>
      <c r="P19" s="12">
        <f>AVERAGE(P18,P20)</f>
        <v>2.7941000000000001E-2</v>
      </c>
      <c r="Q19" s="10">
        <f t="shared" si="2"/>
        <v>0.8106376964496097</v>
      </c>
      <c r="R19" s="10">
        <f>P19/2*SUM($Q$5:Q18)</f>
        <v>0.17803728961214108</v>
      </c>
      <c r="S19" s="18">
        <f t="shared" si="7"/>
        <v>2.8188002144429181E-2</v>
      </c>
      <c r="U19" s="17">
        <v>15</v>
      </c>
      <c r="V19" s="22">
        <f t="shared" si="3"/>
        <v>3.5266333060546717E-2</v>
      </c>
      <c r="W19" s="25">
        <f t="shared" si="8"/>
        <v>4.9357954331195497E-2</v>
      </c>
      <c r="Y19" s="22">
        <f t="shared" si="4"/>
        <v>2.3963562491007062E-2</v>
      </c>
      <c r="Z19" s="25">
        <f t="shared" si="4"/>
        <v>2.8037854820817332E-2</v>
      </c>
    </row>
    <row r="20" spans="2:26" x14ac:dyDescent="0.3">
      <c r="B20" s="4">
        <v>16</v>
      </c>
      <c r="C20" s="3">
        <v>8</v>
      </c>
      <c r="D20" s="6">
        <f>VLOOKUP(C20,par_input_IFRS17,2,FALSE)</f>
        <v>6.7400000000000003E-3</v>
      </c>
      <c r="E20" s="10">
        <f t="shared" si="0"/>
        <v>0.94745761027082676</v>
      </c>
      <c r="F20" s="10">
        <f>D20/2*SUM($E$5:E19)</f>
        <v>4.9349457582560402E-2</v>
      </c>
      <c r="G20" s="18">
        <f t="shared" si="5"/>
        <v>6.7580272685465737E-3</v>
      </c>
      <c r="I20" s="17">
        <v>16</v>
      </c>
      <c r="J20" s="22">
        <f t="shared" si="1"/>
        <v>1.1718161119753878E-2</v>
      </c>
      <c r="K20" s="25">
        <f t="shared" si="6"/>
        <v>1.7969533169962304E-2</v>
      </c>
      <c r="N20" s="4">
        <v>16</v>
      </c>
      <c r="O20" s="3">
        <v>8</v>
      </c>
      <c r="P20" s="6">
        <f>(VLOOKUP(O20,par_input_IFRS17,2,FALSE)+VLOOKUP(O20,spread_input_IFRS17,2,FALSE))</f>
        <v>2.8307999999999996E-2</v>
      </c>
      <c r="Q20" s="10">
        <f t="shared" si="2"/>
        <v>0.79687153698134316</v>
      </c>
      <c r="R20" s="10">
        <f>P20/2*SUM($Q$5:Q19)</f>
        <v>0.19184954328422207</v>
      </c>
      <c r="S20" s="18">
        <f t="shared" si="7"/>
        <v>2.8585075390705761E-2</v>
      </c>
      <c r="U20" s="17">
        <v>16</v>
      </c>
      <c r="V20" s="22">
        <f t="shared" si="3"/>
        <v>3.5821443416930165E-2</v>
      </c>
      <c r="W20" s="25">
        <f t="shared" si="8"/>
        <v>4.4183906350893309E-2</v>
      </c>
      <c r="Y20" s="22">
        <f t="shared" si="4"/>
        <v>2.4103282297176287E-2</v>
      </c>
      <c r="Z20" s="25">
        <f t="shared" si="4"/>
        <v>2.6214373180931005E-2</v>
      </c>
    </row>
    <row r="21" spans="2:26" x14ac:dyDescent="0.3">
      <c r="B21" s="4">
        <v>17</v>
      </c>
      <c r="C21" s="3">
        <v>8.5</v>
      </c>
      <c r="D21" s="12">
        <f>AVERAGE(D20,D22)</f>
        <v>6.9800000000000001E-3</v>
      </c>
      <c r="E21" s="10">
        <f t="shared" si="0"/>
        <v>0.94229804446729881</v>
      </c>
      <c r="F21" s="10">
        <f>D21/2*SUM($E$5:E20)</f>
        <v>5.4413335357511604E-2</v>
      </c>
      <c r="G21" s="18">
        <f t="shared" si="5"/>
        <v>7.0044321368238904E-3</v>
      </c>
      <c r="I21" s="17">
        <v>17</v>
      </c>
      <c r="J21" s="22">
        <f t="shared" si="1"/>
        <v>1.2137691484647606E-2</v>
      </c>
      <c r="K21" s="25">
        <f t="shared" si="6"/>
        <v>1.8873885981516736E-2</v>
      </c>
      <c r="N21" s="4">
        <v>17</v>
      </c>
      <c r="O21" s="3">
        <v>8.5</v>
      </c>
      <c r="P21" s="12">
        <f>AVERAGE(P20,P22)</f>
        <v>2.8706499999999999E-2</v>
      </c>
      <c r="Q21" s="10">
        <f t="shared" si="2"/>
        <v>0.78277664922382661</v>
      </c>
      <c r="R21" s="10">
        <f>P21/2*SUM($Q$5:Q20)</f>
        <v>0.20598796183570189</v>
      </c>
      <c r="S21" s="18">
        <f t="shared" si="7"/>
        <v>2.9021234060731427E-2</v>
      </c>
      <c r="U21" s="17">
        <v>17</v>
      </c>
      <c r="V21" s="22">
        <f t="shared" si="3"/>
        <v>3.6392443226417548E-2</v>
      </c>
      <c r="W21" s="25">
        <f t="shared" si="8"/>
        <v>4.5571366495213539E-2</v>
      </c>
      <c r="Y21" s="22">
        <f t="shared" si="4"/>
        <v>2.4254751741769942E-2</v>
      </c>
      <c r="Z21" s="25">
        <f t="shared" si="4"/>
        <v>2.6697480513696803E-2</v>
      </c>
    </row>
    <row r="22" spans="2:26" x14ac:dyDescent="0.3">
      <c r="B22" s="4">
        <v>18</v>
      </c>
      <c r="C22" s="3">
        <v>9</v>
      </c>
      <c r="D22" s="6">
        <f>VLOOKUP(C22,par_input_IFRS17,2,FALSE)</f>
        <v>7.2199999999999999E-3</v>
      </c>
      <c r="E22" s="10">
        <f t="shared" si="0"/>
        <v>0.93693169963792877</v>
      </c>
      <c r="F22" s="10">
        <f>D22/2*SUM($E$5:E21)</f>
        <v>5.968597692637706E-2</v>
      </c>
      <c r="G22" s="18">
        <f t="shared" si="5"/>
        <v>7.2514354727837294E-3</v>
      </c>
      <c r="I22" s="17">
        <v>18</v>
      </c>
      <c r="J22" s="22">
        <f t="shared" si="1"/>
        <v>1.2561591749558954E-2</v>
      </c>
      <c r="K22" s="25">
        <f t="shared" si="6"/>
        <v>1.9795120114629583E-2</v>
      </c>
      <c r="N22" s="4">
        <v>18</v>
      </c>
      <c r="O22" s="3">
        <v>9</v>
      </c>
      <c r="P22" s="6">
        <f>(VLOOKUP(O22,par_input_IFRS17,2,FALSE)+VLOOKUP(O22,spread_input_IFRS17,2,FALSE))</f>
        <v>2.9105000000000002E-2</v>
      </c>
      <c r="Q22" s="10">
        <f t="shared" si="2"/>
        <v>0.76857647303557175</v>
      </c>
      <c r="R22" s="10">
        <f>P22/2*SUM($Q$5:Q21)</f>
        <v>0.22023881784057753</v>
      </c>
      <c r="S22" s="18">
        <f t="shared" si="7"/>
        <v>2.9461014830655774E-2</v>
      </c>
      <c r="U22" s="17">
        <v>18</v>
      </c>
      <c r="V22" s="22">
        <f t="shared" si="3"/>
        <v>3.6979879855036923E-2</v>
      </c>
      <c r="W22" s="25">
        <f t="shared" si="8"/>
        <v>4.7017400424733458E-2</v>
      </c>
      <c r="Y22" s="22">
        <f t="shared" si="4"/>
        <v>2.441828810547797E-2</v>
      </c>
      <c r="Z22" s="25">
        <f t="shared" si="4"/>
        <v>2.7222280310103875E-2</v>
      </c>
    </row>
    <row r="23" spans="2:26" x14ac:dyDescent="0.3">
      <c r="B23" s="4">
        <v>19</v>
      </c>
      <c r="C23" s="3">
        <v>9.5</v>
      </c>
      <c r="D23" s="12">
        <f>AVERAGE(D22,D24)</f>
        <v>7.4850000000000003E-3</v>
      </c>
      <c r="E23" s="10">
        <f t="shared" si="0"/>
        <v>0.93113210399966129</v>
      </c>
      <c r="F23" s="10">
        <f>D23/2*SUM($E$5:E22)</f>
        <v>6.5383134101121024E-2</v>
      </c>
      <c r="G23" s="18">
        <f t="shared" si="5"/>
        <v>7.525080988607602E-3</v>
      </c>
      <c r="I23" s="17">
        <v>19</v>
      </c>
      <c r="J23" s="22">
        <f t="shared" si="1"/>
        <v>1.299011858282384E-2</v>
      </c>
      <c r="K23" s="25">
        <f t="shared" si="6"/>
        <v>2.0734688146883951E-2</v>
      </c>
      <c r="N23" s="4">
        <v>19</v>
      </c>
      <c r="O23" s="3">
        <v>9.5</v>
      </c>
      <c r="P23" s="12">
        <f>AVERAGE(P22,P24)</f>
        <v>2.9465499999999999E-2</v>
      </c>
      <c r="Q23" s="10">
        <f t="shared" si="2"/>
        <v>0.75459279079817088</v>
      </c>
      <c r="R23" s="10">
        <f>P23/2*SUM($Q$5:Q22)</f>
        <v>0.23428998226319678</v>
      </c>
      <c r="S23" s="18">
        <f t="shared" si="7"/>
        <v>2.9860403600684204E-2</v>
      </c>
      <c r="U23" s="17">
        <v>19</v>
      </c>
      <c r="V23" s="22">
        <f t="shared" si="3"/>
        <v>3.7584508782963599E-2</v>
      </c>
      <c r="W23" s="25">
        <f t="shared" si="8"/>
        <v>4.8528313349833097E-2</v>
      </c>
      <c r="Y23" s="22">
        <f t="shared" si="4"/>
        <v>2.459439020013976E-2</v>
      </c>
      <c r="Z23" s="25">
        <f t="shared" si="4"/>
        <v>2.7793625202949146E-2</v>
      </c>
    </row>
    <row r="24" spans="2:26" x14ac:dyDescent="0.3">
      <c r="B24" s="4">
        <v>20</v>
      </c>
      <c r="C24" s="3">
        <v>10</v>
      </c>
      <c r="D24" s="6">
        <f>VLOOKUP(C24,par_input_IFRS17,2,FALSE)</f>
        <v>7.7499999999999999E-3</v>
      </c>
      <c r="E24" s="10">
        <f t="shared" si="0"/>
        <v>0.92510909750400061</v>
      </c>
      <c r="F24" s="10">
        <f>D24/2*SUM($E$5:E23)</f>
        <v>7.1306104743170756E-2</v>
      </c>
      <c r="G24" s="18">
        <f t="shared" si="5"/>
        <v>7.7995292582970777E-3</v>
      </c>
      <c r="I24" s="17">
        <v>20</v>
      </c>
      <c r="J24" s="22">
        <f t="shared" si="1"/>
        <v>1.3423554509838675E-2</v>
      </c>
      <c r="K24" s="25">
        <f t="shared" si="6"/>
        <v>2.1694164691957285E-2</v>
      </c>
      <c r="N24" s="4">
        <v>20</v>
      </c>
      <c r="O24" s="3">
        <v>10</v>
      </c>
      <c r="P24" s="6">
        <f>(VLOOKUP(O24,par_input_IFRS17,2,FALSE)+VLOOKUP(O24,spread_input_IFRS17,2,FALSE))</f>
        <v>2.9825999999999998E-2</v>
      </c>
      <c r="Q24" s="10">
        <f t="shared" si="2"/>
        <v>0.7405465494568112</v>
      </c>
      <c r="R24" s="10">
        <f>P24/2*SUM($Q$5:Q23)</f>
        <v>0.24840967985113907</v>
      </c>
      <c r="S24" s="18">
        <f t="shared" si="7"/>
        <v>3.0263362402783933E-2</v>
      </c>
      <c r="U24" s="17">
        <v>20</v>
      </c>
      <c r="V24" s="22">
        <f t="shared" si="3"/>
        <v>3.8207283348933085E-2</v>
      </c>
      <c r="W24" s="25">
        <f t="shared" si="8"/>
        <v>5.0111278356398392E-2</v>
      </c>
      <c r="Y24" s="22">
        <f t="shared" si="4"/>
        <v>2.478372883909441E-2</v>
      </c>
      <c r="Z24" s="25">
        <f t="shared" si="4"/>
        <v>2.8417113664441107E-2</v>
      </c>
    </row>
    <row r="25" spans="2:26" x14ac:dyDescent="0.3">
      <c r="B25" s="4">
        <v>21</v>
      </c>
      <c r="C25" s="3">
        <v>10.5</v>
      </c>
      <c r="D25" s="12">
        <f>($D$34-$D$24)/($B$34-$B$24)+D24</f>
        <v>8.0770000000000008E-3</v>
      </c>
      <c r="E25" s="10">
        <f t="shared" si="0"/>
        <v>0.91824086883698353</v>
      </c>
      <c r="F25" s="10">
        <f>D25/2*SUM($E$5:E24)</f>
        <v>7.8050815414217045E-2</v>
      </c>
      <c r="G25" s="18">
        <f t="shared" si="5"/>
        <v>8.1399043146452854E-3</v>
      </c>
      <c r="I25" s="17">
        <v>21</v>
      </c>
      <c r="J25" s="22">
        <f t="shared" si="1"/>
        <v>1.3531368646791497E-2</v>
      </c>
      <c r="K25" s="25">
        <f t="shared" si="6"/>
        <v>1.5690061692957613E-2</v>
      </c>
      <c r="N25" s="4">
        <v>21</v>
      </c>
      <c r="O25" s="3">
        <v>10.5</v>
      </c>
      <c r="P25" s="12">
        <f>($P$34-$P$24)/($N$34-$N$24)+P24</f>
        <v>3.0221399999999999E-2</v>
      </c>
      <c r="Q25" s="10">
        <f t="shared" si="2"/>
        <v>0.72613460149002018</v>
      </c>
      <c r="R25" s="10">
        <f>P25/2*SUM($Q$5:Q24)</f>
        <v>0.26289299638724328</v>
      </c>
      <c r="S25" s="18">
        <f t="shared" si="7"/>
        <v>3.0711496346290001E-2</v>
      </c>
      <c r="U25" s="17">
        <v>21</v>
      </c>
      <c r="V25" s="22">
        <f t="shared" si="3"/>
        <v>3.8395893649157076E-2</v>
      </c>
      <c r="W25" s="25">
        <f t="shared" si="8"/>
        <v>4.2175303523259489E-2</v>
      </c>
      <c r="Y25" s="22">
        <f t="shared" si="4"/>
        <v>2.4864525002365578E-2</v>
      </c>
      <c r="Z25" s="25">
        <f t="shared" si="4"/>
        <v>2.6485241830301876E-2</v>
      </c>
    </row>
    <row r="26" spans="2:26" x14ac:dyDescent="0.3">
      <c r="B26" s="4">
        <v>22</v>
      </c>
      <c r="C26" s="3">
        <v>11</v>
      </c>
      <c r="D26" s="12">
        <f t="shared" ref="D26:D33" si="9">($D$34-$D$24)/($B$34-$B$24)+D25</f>
        <v>8.4040000000000017E-3</v>
      </c>
      <c r="E26" s="10">
        <f t="shared" si="0"/>
        <v>0.91110237137220562</v>
      </c>
      <c r="F26" s="10">
        <f>D26/2*SUM($E$5:E25)</f>
        <v>8.5069176463288321E-2</v>
      </c>
      <c r="G26" s="18">
        <f t="shared" si="5"/>
        <v>8.4815713528754166E-3</v>
      </c>
      <c r="I26" s="17">
        <v>22</v>
      </c>
      <c r="J26" s="22">
        <f t="shared" si="1"/>
        <v>1.3641218539176991E-2</v>
      </c>
      <c r="K26" s="25">
        <f t="shared" si="6"/>
        <v>1.5950818529441912E-2</v>
      </c>
      <c r="N26" s="4">
        <v>22</v>
      </c>
      <c r="O26" s="3">
        <v>11</v>
      </c>
      <c r="P26" s="12">
        <f t="shared" ref="P26:P33" si="10">($P$34-$P$24)/($N$34-$N$24)+P25</f>
        <v>3.06168E-2</v>
      </c>
      <c r="Q26" s="10">
        <f t="shared" si="2"/>
        <v>0.7116571662711062</v>
      </c>
      <c r="R26" s="10">
        <f>P26/2*SUM($Q$5:Q25)</f>
        <v>0.27744850116474784</v>
      </c>
      <c r="S26" s="18">
        <f t="shared" si="7"/>
        <v>3.1163848000594463E-2</v>
      </c>
      <c r="U26" s="17">
        <v>22</v>
      </c>
      <c r="V26" s="22">
        <f t="shared" si="3"/>
        <v>3.8594559534719464E-2</v>
      </c>
      <c r="W26" s="25">
        <f t="shared" si="8"/>
        <v>4.2775334362513906E-2</v>
      </c>
      <c r="Y26" s="22">
        <f t="shared" si="4"/>
        <v>2.4953340995542472E-2</v>
      </c>
      <c r="Z26" s="25">
        <f t="shared" si="4"/>
        <v>2.6824515833071993E-2</v>
      </c>
    </row>
    <row r="27" spans="2:26" x14ac:dyDescent="0.3">
      <c r="B27" s="4">
        <v>23</v>
      </c>
      <c r="C27" s="3">
        <v>11.5</v>
      </c>
      <c r="D27" s="12">
        <f t="shared" si="9"/>
        <v>8.7310000000000026E-3</v>
      </c>
      <c r="E27" s="10">
        <f t="shared" si="0"/>
        <v>0.90369826605375569</v>
      </c>
      <c r="F27" s="10">
        <f>D27/2*SUM($E$5:E26)</f>
        <v>9.2356639165786819E-2</v>
      </c>
      <c r="G27" s="18">
        <f t="shared" si="5"/>
        <v>8.8246070655482178E-3</v>
      </c>
      <c r="I27" s="17">
        <v>23</v>
      </c>
      <c r="J27" s="22">
        <f t="shared" si="1"/>
        <v>1.3752976685896812E-2</v>
      </c>
      <c r="K27" s="25">
        <f t="shared" si="6"/>
        <v>1.6214775736163478E-2</v>
      </c>
      <c r="N27" s="4">
        <v>23</v>
      </c>
      <c r="O27" s="3">
        <v>11.5</v>
      </c>
      <c r="P27" s="12">
        <f t="shared" si="10"/>
        <v>3.10122E-2</v>
      </c>
      <c r="Q27" s="10">
        <f t="shared" si="2"/>
        <v>0.69712369920236328</v>
      </c>
      <c r="R27" s="10">
        <f>P27/2*SUM($Q$5:Q26)</f>
        <v>0.29206663100543356</v>
      </c>
      <c r="S27" s="18">
        <f t="shared" si="7"/>
        <v>3.1620615047026401E-2</v>
      </c>
      <c r="U27" s="17">
        <v>23</v>
      </c>
      <c r="V27" s="22">
        <f t="shared" si="3"/>
        <v>3.880292061029933E-2</v>
      </c>
      <c r="W27" s="25">
        <f t="shared" si="8"/>
        <v>4.3397454804029234E-2</v>
      </c>
      <c r="Y27" s="22">
        <f t="shared" si="4"/>
        <v>2.5049943924402518E-2</v>
      </c>
      <c r="Z27" s="25">
        <f t="shared" si="4"/>
        <v>2.7182679067865756E-2</v>
      </c>
    </row>
    <row r="28" spans="2:26" x14ac:dyDescent="0.3">
      <c r="B28" s="4">
        <v>24</v>
      </c>
      <c r="C28" s="3">
        <v>12</v>
      </c>
      <c r="D28" s="12">
        <f t="shared" si="9"/>
        <v>9.0580000000000035E-3</v>
      </c>
      <c r="E28" s="10">
        <f t="shared" si="0"/>
        <v>0.89603336573584624</v>
      </c>
      <c r="F28" s="10">
        <f>D28/2*SUM($E$5:E27)</f>
        <v>9.9908499150736754E-2</v>
      </c>
      <c r="G28" s="18">
        <f t="shared" si="5"/>
        <v>9.1690897124836468E-3</v>
      </c>
      <c r="I28" s="17">
        <v>24</v>
      </c>
      <c r="J28" s="22">
        <f t="shared" si="1"/>
        <v>1.386654275115129E-2</v>
      </c>
      <c r="K28" s="25">
        <f t="shared" si="6"/>
        <v>1.6482076488156583E-2</v>
      </c>
      <c r="N28" s="4">
        <v>24</v>
      </c>
      <c r="O28" s="3">
        <v>12</v>
      </c>
      <c r="P28" s="12">
        <f t="shared" si="10"/>
        <v>3.1407600000000001E-2</v>
      </c>
      <c r="Q28" s="10">
        <f t="shared" si="2"/>
        <v>0.68254355312098935</v>
      </c>
      <c r="R28" s="10">
        <f>P28/2*SUM($Q$5:Q27)</f>
        <v>0.30673791942950879</v>
      </c>
      <c r="S28" s="18">
        <f t="shared" si="7"/>
        <v>3.2082006410840691E-2</v>
      </c>
      <c r="U28" s="17">
        <v>24</v>
      </c>
      <c r="V28" s="22">
        <f t="shared" si="3"/>
        <v>3.9020744719434175E-2</v>
      </c>
      <c r="W28" s="25">
        <f t="shared" si="8"/>
        <v>4.4043324940802986E-2</v>
      </c>
      <c r="Y28" s="22">
        <f t="shared" si="4"/>
        <v>2.5154201968282885E-2</v>
      </c>
      <c r="Z28" s="25">
        <f t="shared" si="4"/>
        <v>2.7561248452646403E-2</v>
      </c>
    </row>
    <row r="29" spans="2:26" x14ac:dyDescent="0.3">
      <c r="B29" s="4">
        <v>25</v>
      </c>
      <c r="C29" s="3">
        <v>12.5</v>
      </c>
      <c r="D29" s="12">
        <f t="shared" si="9"/>
        <v>9.3850000000000044E-3</v>
      </c>
      <c r="E29" s="10">
        <f t="shared" si="0"/>
        <v>0.88811263055716583</v>
      </c>
      <c r="F29" s="10">
        <f>D29/2*SUM($E$5:E28)</f>
        <v>0.10771990092394448</v>
      </c>
      <c r="G29" s="18">
        <f t="shared" si="5"/>
        <v>9.5150993706525355E-3</v>
      </c>
      <c r="I29" s="17">
        <v>25</v>
      </c>
      <c r="J29" s="22">
        <f t="shared" si="1"/>
        <v>1.3981838406994296E-2</v>
      </c>
      <c r="K29" s="25">
        <f t="shared" si="6"/>
        <v>1.6752870962707833E-2</v>
      </c>
      <c r="N29" s="4">
        <v>25</v>
      </c>
      <c r="O29" s="3">
        <v>12.5</v>
      </c>
      <c r="P29" s="12">
        <f t="shared" si="10"/>
        <v>3.1802999999999998E-2</v>
      </c>
      <c r="Q29" s="10">
        <f t="shared" si="2"/>
        <v>0.66792597080392313</v>
      </c>
      <c r="R29" s="10">
        <f>P29/2*SUM($Q$5:Q28)</f>
        <v>0.32145300437133562</v>
      </c>
      <c r="S29" s="18">
        <f t="shared" si="7"/>
        <v>3.2548242914449244E-2</v>
      </c>
      <c r="U29" s="17">
        <v>25</v>
      </c>
      <c r="V29" s="22">
        <f t="shared" si="3"/>
        <v>3.9247908618421645E-2</v>
      </c>
      <c r="W29" s="25">
        <f t="shared" si="8"/>
        <v>4.4714766834912378E-2</v>
      </c>
      <c r="Y29" s="22">
        <f t="shared" si="4"/>
        <v>2.5266070211427349E-2</v>
      </c>
      <c r="Z29" s="25">
        <f t="shared" si="4"/>
        <v>2.7961895872204545E-2</v>
      </c>
    </row>
    <row r="30" spans="2:26" x14ac:dyDescent="0.3">
      <c r="B30" s="4">
        <v>26</v>
      </c>
      <c r="C30" s="3">
        <v>13</v>
      </c>
      <c r="D30" s="12">
        <f t="shared" si="9"/>
        <v>9.7120000000000054E-3</v>
      </c>
      <c r="E30" s="10">
        <f t="shared" si="0"/>
        <v>0.87994116319381277</v>
      </c>
      <c r="F30" s="10">
        <f>D30/2*SUM($E$5:E29)</f>
        <v>0.11578584251772017</v>
      </c>
      <c r="G30" s="18">
        <f t="shared" si="5"/>
        <v>9.86271816815254E-3</v>
      </c>
      <c r="I30" s="17">
        <v>26</v>
      </c>
      <c r="J30" s="22">
        <f t="shared" si="1"/>
        <v>1.3926994380078161E-2</v>
      </c>
      <c r="K30" s="25">
        <f t="shared" si="6"/>
        <v>1.2556857367440832E-2</v>
      </c>
      <c r="N30" s="4">
        <v>26</v>
      </c>
      <c r="O30" s="3">
        <v>13</v>
      </c>
      <c r="P30" s="12">
        <f t="shared" si="10"/>
        <v>3.2198400000000002E-2</v>
      </c>
      <c r="Q30" s="10">
        <f t="shared" si="2"/>
        <v>0.65328007771994212</v>
      </c>
      <c r="R30" s="10">
        <f>P30/2*SUM($Q$5:Q29)</f>
        <v>0.33620263565282765</v>
      </c>
      <c r="S30" s="18">
        <f t="shared" si="7"/>
        <v>3.3019558038806185E-2</v>
      </c>
      <c r="U30" s="17">
        <v>26</v>
      </c>
      <c r="V30" s="22">
        <f t="shared" si="3"/>
        <v>3.9265639252294093E-2</v>
      </c>
      <c r="W30" s="25">
        <f t="shared" si="8"/>
        <v>3.9709003425926648E-2</v>
      </c>
      <c r="Y30" s="22">
        <f t="shared" si="4"/>
        <v>2.5338644872215932E-2</v>
      </c>
      <c r="Z30" s="25">
        <f t="shared" si="4"/>
        <v>2.7152146058485815E-2</v>
      </c>
    </row>
    <row r="31" spans="2:26" x14ac:dyDescent="0.3">
      <c r="B31" s="4">
        <v>27</v>
      </c>
      <c r="C31" s="3">
        <v>13.5</v>
      </c>
      <c r="D31" s="12">
        <f t="shared" si="9"/>
        <v>1.0039000000000006E-2</v>
      </c>
      <c r="E31" s="10">
        <f t="shared" si="0"/>
        <v>0.87152420399677988</v>
      </c>
      <c r="F31" s="10">
        <f>D31/2*SUM($E$5:E30)</f>
        <v>0.1241011802612577</v>
      </c>
      <c r="G31" s="18">
        <f t="shared" si="5"/>
        <v>1.0212030509337833E-2</v>
      </c>
      <c r="I31" s="17">
        <v>27</v>
      </c>
      <c r="J31" s="22">
        <f t="shared" si="1"/>
        <v>1.3873527472835878E-2</v>
      </c>
      <c r="K31" s="25">
        <f t="shared" si="6"/>
        <v>1.2484377074565955E-2</v>
      </c>
      <c r="N31" s="4">
        <v>27</v>
      </c>
      <c r="O31" s="3">
        <v>13.5</v>
      </c>
      <c r="P31" s="12">
        <f t="shared" si="10"/>
        <v>3.2593800000000006E-2</v>
      </c>
      <c r="Q31" s="10">
        <f t="shared" si="2"/>
        <v>0.63861487503486924</v>
      </c>
      <c r="R31" s="10">
        <f>P31/2*SUM($Q$5:Q30)</f>
        <v>0.35097768220817516</v>
      </c>
      <c r="S31" s="18">
        <f t="shared" si="7"/>
        <v>3.3496198792288823E-2</v>
      </c>
      <c r="U31" s="17">
        <v>27</v>
      </c>
      <c r="V31" s="22">
        <f t="shared" si="3"/>
        <v>3.9289621564018606E-2</v>
      </c>
      <c r="W31" s="25">
        <f t="shared" si="8"/>
        <v>3.9913355956936236E-2</v>
      </c>
      <c r="Y31" s="22">
        <f t="shared" si="4"/>
        <v>2.5416094091182728E-2</v>
      </c>
      <c r="Z31" s="25">
        <f t="shared" si="4"/>
        <v>2.7428978882370281E-2</v>
      </c>
    </row>
    <row r="32" spans="2:26" x14ac:dyDescent="0.3">
      <c r="B32" s="4">
        <v>28</v>
      </c>
      <c r="C32" s="3">
        <v>14</v>
      </c>
      <c r="D32" s="12">
        <f t="shared" si="9"/>
        <v>1.0366000000000007E-2</v>
      </c>
      <c r="E32" s="10">
        <f t="shared" si="0"/>
        <v>0.86286712602019577</v>
      </c>
      <c r="F32" s="10">
        <f>D32/2*SUM($E$5:E31)</f>
        <v>0.1326606336656414</v>
      </c>
      <c r="G32" s="18">
        <f t="shared" si="5"/>
        <v>1.0563123296415178E-2</v>
      </c>
      <c r="I32" s="17">
        <v>28</v>
      </c>
      <c r="J32" s="22">
        <f t="shared" si="1"/>
        <v>1.3821273873644069E-2</v>
      </c>
      <c r="K32" s="25">
        <f t="shared" si="6"/>
        <v>1.2411444223703327E-2</v>
      </c>
      <c r="N32" s="4">
        <v>28</v>
      </c>
      <c r="O32" s="3">
        <v>14</v>
      </c>
      <c r="P32" s="12">
        <f t="shared" si="10"/>
        <v>3.298920000000001E-2</v>
      </c>
      <c r="Q32" s="10">
        <f t="shared" si="2"/>
        <v>0.62393923287536968</v>
      </c>
      <c r="R32" s="10">
        <f>P32/2*SUM($Q$5:Q31)</f>
        <v>0.36576913905404396</v>
      </c>
      <c r="S32" s="18">
        <f t="shared" si="7"/>
        <v>3.3978426690086216E-2</v>
      </c>
      <c r="U32" s="17">
        <v>28</v>
      </c>
      <c r="V32" s="22">
        <f t="shared" si="3"/>
        <v>3.9319419946767908E-2</v>
      </c>
      <c r="W32" s="25">
        <f t="shared" si="8"/>
        <v>4.0124299315212664E-2</v>
      </c>
      <c r="Y32" s="22">
        <f t="shared" si="4"/>
        <v>2.549814607312384E-2</v>
      </c>
      <c r="Z32" s="25">
        <f t="shared" si="4"/>
        <v>2.7712855091509336E-2</v>
      </c>
    </row>
    <row r="33" spans="2:26" x14ac:dyDescent="0.3">
      <c r="B33" s="4">
        <v>29</v>
      </c>
      <c r="C33" s="3">
        <v>14.5</v>
      </c>
      <c r="D33" s="12">
        <f t="shared" si="9"/>
        <v>1.0693000000000008E-2</v>
      </c>
      <c r="E33" s="10">
        <f t="shared" si="0"/>
        <v>0.85397542994646203</v>
      </c>
      <c r="F33" s="10">
        <f>D33/2*SUM($E$5:E32)</f>
        <v>0.1414587904173302</v>
      </c>
      <c r="G33" s="18">
        <f t="shared" si="5"/>
        <v>1.0916086151667503E-2</v>
      </c>
      <c r="I33" s="17">
        <v>29</v>
      </c>
      <c r="J33" s="22">
        <f t="shared" si="1"/>
        <v>1.3770092406137246E-2</v>
      </c>
      <c r="K33" s="25">
        <f t="shared" si="6"/>
        <v>1.2338059874767104E-2</v>
      </c>
      <c r="N33" s="4">
        <v>29</v>
      </c>
      <c r="O33" s="3">
        <v>14.5</v>
      </c>
      <c r="P33" s="12">
        <f t="shared" si="10"/>
        <v>3.3384600000000014E-2</v>
      </c>
      <c r="Q33" s="10">
        <f t="shared" si="2"/>
        <v>0.60926188385622615</v>
      </c>
      <c r="R33" s="10">
        <f>P33/2*SUM($Q$5:Q32)</f>
        <v>0.38056813399988254</v>
      </c>
      <c r="S33" s="18">
        <f t="shared" si="7"/>
        <v>3.4466518850154948E-2</v>
      </c>
      <c r="U33" s="17">
        <v>29</v>
      </c>
      <c r="V33" s="22">
        <f t="shared" si="3"/>
        <v>3.9354670874782283E-2</v>
      </c>
      <c r="W33" s="25">
        <f t="shared" si="8"/>
        <v>4.0342182427879791E-2</v>
      </c>
      <c r="Y33" s="22">
        <f t="shared" si="4"/>
        <v>2.5584578468645036E-2</v>
      </c>
      <c r="Z33" s="25">
        <f t="shared" si="4"/>
        <v>2.8004122553112687E-2</v>
      </c>
    </row>
    <row r="34" spans="2:26" ht="15" thickBot="1" x14ac:dyDescent="0.35">
      <c r="B34" s="4">
        <v>30</v>
      </c>
      <c r="C34" s="3">
        <v>15</v>
      </c>
      <c r="D34" s="6">
        <f>VLOOKUP(C34,par_input_IFRS17,2,FALSE)</f>
        <v>1.102E-2</v>
      </c>
      <c r="E34" s="10">
        <f t="shared" si="0"/>
        <v>0.84485473891471941</v>
      </c>
      <c r="F34" s="10">
        <f>D34/2*SUM($E$5:E33)</f>
        <v>0.15049011147386124</v>
      </c>
      <c r="G34" s="18">
        <f t="shared" si="5"/>
        <v>1.1271011643671613E-2</v>
      </c>
      <c r="I34" s="17">
        <v>30</v>
      </c>
      <c r="J34" s="23">
        <f t="shared" si="1"/>
        <v>1.3719860761480129E-2</v>
      </c>
      <c r="K34" s="26">
        <f t="shared" si="6"/>
        <v>1.226422525701798E-2</v>
      </c>
      <c r="N34" s="4">
        <v>30</v>
      </c>
      <c r="O34" s="3">
        <v>15</v>
      </c>
      <c r="P34" s="6">
        <f>(VLOOKUP(O34,par_input_IFRS17,2,FALSE)+VLOOKUP(O34,spread_input_IFRS17,2,FALSE))</f>
        <v>3.3780000000000004E-2</v>
      </c>
      <c r="Q34" s="10">
        <f t="shared" si="2"/>
        <v>0.59459141687550754</v>
      </c>
      <c r="R34" s="10">
        <f>P34/2*SUM($Q$5:Q33)</f>
        <v>0.3953659340934666</v>
      </c>
      <c r="S34" s="18">
        <f t="shared" si="7"/>
        <v>3.4960769214528842E-2</v>
      </c>
      <c r="U34" s="17">
        <v>30</v>
      </c>
      <c r="V34" s="23">
        <f t="shared" si="3"/>
        <v>3.9395071635200507E-2</v>
      </c>
      <c r="W34" s="26">
        <f t="shared" si="8"/>
        <v>4.0567377067128652E-2</v>
      </c>
      <c r="Y34" s="23">
        <f t="shared" si="4"/>
        <v>2.5675210873720378E-2</v>
      </c>
      <c r="Z34" s="26">
        <f t="shared" si="4"/>
        <v>2.8303151810110672E-2</v>
      </c>
    </row>
    <row r="35" spans="2:26" x14ac:dyDescent="0.3">
      <c r="B35" s="4">
        <v>31</v>
      </c>
      <c r="C35" s="3">
        <v>15.5</v>
      </c>
      <c r="D35" s="12">
        <f>($D$44-$D$34)/($B$44-$B$34)+D34</f>
        <v>1.1212E-2</v>
      </c>
      <c r="E35" s="10">
        <f t="shared" si="0"/>
        <v>0.83745688031442289</v>
      </c>
      <c r="F35" s="10">
        <f>D35/2*SUM($E$5:E34)</f>
        <v>0.15784833641453488</v>
      </c>
      <c r="G35" s="18">
        <f t="shared" si="5"/>
        <v>1.1477031105898927E-2</v>
      </c>
      <c r="N35" s="4">
        <v>31</v>
      </c>
      <c r="O35" s="3">
        <v>15.5</v>
      </c>
      <c r="P35" s="12">
        <f>($P$44-$P$34)/($N$44-$N$34)+P34</f>
        <v>3.4007100000000005E-2</v>
      </c>
      <c r="Q35" s="10">
        <f t="shared" si="2"/>
        <v>0.58197032867327692</v>
      </c>
      <c r="R35" s="10">
        <f>P35/2*SUM($Q$5:Q34)</f>
        <v>0.40813410974461151</v>
      </c>
      <c r="S35" s="18">
        <f t="shared" si="7"/>
        <v>3.5231611004454155E-2</v>
      </c>
    </row>
    <row r="36" spans="2:26" x14ac:dyDescent="0.3">
      <c r="B36" s="4">
        <v>32</v>
      </c>
      <c r="C36" s="3">
        <v>16</v>
      </c>
      <c r="D36" s="12">
        <f t="shared" ref="D36:D43" si="11">($D$44-$D$34)/($B$44-$B$34)+D35</f>
        <v>1.1403999999999999E-2</v>
      </c>
      <c r="E36" s="10">
        <f t="shared" si="0"/>
        <v>0.82994108505766129</v>
      </c>
      <c r="F36" s="10">
        <f>D36/2*SUM($E$5:E35)</f>
        <v>0.16532659087534127</v>
      </c>
      <c r="G36" s="18">
        <f t="shared" si="5"/>
        <v>1.1684031968990816E-2</v>
      </c>
      <c r="N36" s="4">
        <v>32</v>
      </c>
      <c r="O36" s="3">
        <v>16</v>
      </c>
      <c r="P36" s="12">
        <f t="shared" ref="P36:P43" si="12">($P$44-$P$34)/($N$44-$N$34)+P35</f>
        <v>3.4234200000000006E-2</v>
      </c>
      <c r="Q36" s="10">
        <f t="shared" si="2"/>
        <v>0.56943169997076903</v>
      </c>
      <c r="R36" s="10">
        <f>P36/2*SUM($Q$5:Q35)</f>
        <v>0.42082128067766245</v>
      </c>
      <c r="S36" s="18">
        <f t="shared" si="7"/>
        <v>3.5506269621324638E-2</v>
      </c>
    </row>
    <row r="37" spans="2:26" x14ac:dyDescent="0.3">
      <c r="B37" s="4">
        <v>33</v>
      </c>
      <c r="C37" s="3">
        <v>16.5</v>
      </c>
      <c r="D37" s="12">
        <f t="shared" si="11"/>
        <v>1.1595999999999999E-2</v>
      </c>
      <c r="E37" s="10">
        <f t="shared" si="0"/>
        <v>0.82231018507068809</v>
      </c>
      <c r="F37" s="10">
        <f>D37/2*SUM($E$5:E36)</f>
        <v>0.17292206047626932</v>
      </c>
      <c r="G37" s="18">
        <f t="shared" si="5"/>
        <v>1.1892039930528231E-2</v>
      </c>
      <c r="N37" s="4">
        <v>33</v>
      </c>
      <c r="O37" s="3">
        <v>16.5</v>
      </c>
      <c r="P37" s="12">
        <f t="shared" si="12"/>
        <v>3.4461300000000007E-2</v>
      </c>
      <c r="Q37" s="10">
        <f t="shared" si="2"/>
        <v>0.55697833293786425</v>
      </c>
      <c r="R37" s="10">
        <f>P37/2*SUM($Q$5:Q36)</f>
        <v>0.43342456834970217</v>
      </c>
      <c r="S37" s="18">
        <f t="shared" si="7"/>
        <v>3.5784790204590244E-2</v>
      </c>
    </row>
    <row r="38" spans="2:26" x14ac:dyDescent="0.3">
      <c r="B38" s="4">
        <v>34</v>
      </c>
      <c r="C38" s="3">
        <v>17</v>
      </c>
      <c r="D38" s="12">
        <f t="shared" si="11"/>
        <v>1.1787999999999998E-2</v>
      </c>
      <c r="E38" s="10">
        <f t="shared" si="0"/>
        <v>0.81456703962743149</v>
      </c>
      <c r="F38" s="10">
        <f>D38/2*SUM($E$5:E37)</f>
        <v>0.1806319022410052</v>
      </c>
      <c r="G38" s="18">
        <f t="shared" si="5"/>
        <v>1.2101082435619137E-2</v>
      </c>
      <c r="N38" s="4">
        <v>34</v>
      </c>
      <c r="O38" s="3">
        <v>17</v>
      </c>
      <c r="P38" s="12">
        <f t="shared" si="12"/>
        <v>3.4688400000000008E-2</v>
      </c>
      <c r="Q38" s="10">
        <f t="shared" si="2"/>
        <v>0.54461294390599191</v>
      </c>
      <c r="R38" s="10">
        <f>P38/2*SUM($Q$5:Q37)</f>
        <v>0.44594118027231322</v>
      </c>
      <c r="S38" s="18">
        <f t="shared" si="7"/>
        <v>3.6067231921792509E-2</v>
      </c>
    </row>
    <row r="39" spans="2:26" x14ac:dyDescent="0.3">
      <c r="B39" s="4">
        <v>35</v>
      </c>
      <c r="C39" s="3">
        <v>17.5</v>
      </c>
      <c r="D39" s="12">
        <f t="shared" si="11"/>
        <v>1.1979999999999998E-2</v>
      </c>
      <c r="E39" s="10">
        <f t="shared" si="0"/>
        <v>0.80671453382233571</v>
      </c>
      <c r="F39" s="10">
        <f>D39/2*SUM($E$5:E38)</f>
        <v>0.18845324612006953</v>
      </c>
      <c r="G39" s="18">
        <f t="shared" si="5"/>
        <v>1.2311188606101808E-2</v>
      </c>
      <c r="N39" s="4">
        <v>35</v>
      </c>
      <c r="O39" s="3">
        <v>17.5</v>
      </c>
      <c r="P39" s="12">
        <f t="shared" si="12"/>
        <v>3.4915500000000009E-2</v>
      </c>
      <c r="Q39" s="10">
        <f t="shared" si="2"/>
        <v>0.53233816332524508</v>
      </c>
      <c r="R39" s="10">
        <f>P39/2*SUM($Q$5:Q38)</f>
        <v>0.45836841010396329</v>
      </c>
      <c r="S39" s="18">
        <f t="shared" si="7"/>
        <v>3.6353667145012647E-2</v>
      </c>
    </row>
    <row r="40" spans="2:26" x14ac:dyDescent="0.3">
      <c r="B40" s="4">
        <v>36</v>
      </c>
      <c r="C40" s="3">
        <v>18</v>
      </c>
      <c r="D40" s="12">
        <f t="shared" si="11"/>
        <v>1.2171999999999997E-2</v>
      </c>
      <c r="E40" s="10">
        <f t="shared" si="0"/>
        <v>0.79875557703773925</v>
      </c>
      <c r="F40" s="10">
        <f>D40/2*SUM($E$5:E39)</f>
        <v>0.19638319652041253</v>
      </c>
      <c r="G40" s="18">
        <f t="shared" si="5"/>
        <v>1.2522389191791383E-2</v>
      </c>
      <c r="N40" s="4">
        <v>36</v>
      </c>
      <c r="O40" s="3">
        <v>18</v>
      </c>
      <c r="P40" s="12">
        <f t="shared" si="12"/>
        <v>3.514260000000001E-2</v>
      </c>
      <c r="Q40" s="10">
        <f t="shared" si="2"/>
        <v>0.52015653577969578</v>
      </c>
      <c r="R40" s="10">
        <f>P40/2*SUM($Q$5:Q39)</f>
        <v>0.47070363768315598</v>
      </c>
      <c r="S40" s="18">
        <f t="shared" si="7"/>
        <v>3.6644180857360098E-2</v>
      </c>
    </row>
    <row r="41" spans="2:26" x14ac:dyDescent="0.3">
      <c r="B41" s="4">
        <v>37</v>
      </c>
      <c r="C41" s="3">
        <v>18.5</v>
      </c>
      <c r="D41" s="12">
        <f t="shared" si="11"/>
        <v>1.2363999999999997E-2</v>
      </c>
      <c r="E41" s="10">
        <f t="shared" si="0"/>
        <v>0.79069310140669702</v>
      </c>
      <c r="F41" s="10">
        <f>D41/2*SUM($E$5:E40)</f>
        <v>0.20441883384040704</v>
      </c>
      <c r="G41" s="18">
        <f t="shared" si="5"/>
        <v>1.27347165402516E-2</v>
      </c>
      <c r="N41" s="4">
        <v>37</v>
      </c>
      <c r="O41" s="3">
        <v>18.5</v>
      </c>
      <c r="P41" s="12">
        <f t="shared" si="12"/>
        <v>3.5369700000000011E-2</v>
      </c>
      <c r="Q41" s="10">
        <f t="shared" si="2"/>
        <v>0.50807052005997655</v>
      </c>
      <c r="R41" s="10">
        <f>P41/2*SUM($Q$5:Q40)</f>
        <v>0.48294432900334083</v>
      </c>
      <c r="S41" s="18">
        <f t="shared" si="7"/>
        <v>3.6938870254794587E-2</v>
      </c>
    </row>
    <row r="42" spans="2:26" x14ac:dyDescent="0.3">
      <c r="B42" s="4">
        <v>38</v>
      </c>
      <c r="C42" s="3">
        <v>19</v>
      </c>
      <c r="D42" s="12">
        <f t="shared" si="11"/>
        <v>1.2555999999999996E-2</v>
      </c>
      <c r="E42" s="10">
        <f t="shared" si="0"/>
        <v>0.78253006027242811</v>
      </c>
      <c r="F42" s="10">
        <f>D42/2*SUM($E$5:E41)</f>
        <v>0.21255721600918112</v>
      </c>
      <c r="G42" s="18">
        <f t="shared" si="5"/>
        <v>1.2948204582347245E-2</v>
      </c>
      <c r="N42" s="4">
        <v>38</v>
      </c>
      <c r="O42" s="3">
        <v>19</v>
      </c>
      <c r="P42" s="12">
        <f t="shared" si="12"/>
        <v>3.5596800000000012E-2</v>
      </c>
      <c r="Q42" s="10">
        <f t="shared" si="2"/>
        <v>0.49608248929196991</v>
      </c>
      <c r="R42" s="10">
        <f>P42/2*SUM($Q$5:Q41)</f>
        <v>0.49508803613061547</v>
      </c>
      <c r="S42" s="18">
        <f t="shared" si="7"/>
        <v>3.7237844516897489E-2</v>
      </c>
    </row>
    <row r="43" spans="2:26" x14ac:dyDescent="0.3">
      <c r="B43" s="4">
        <v>39</v>
      </c>
      <c r="C43" s="3">
        <v>19.5</v>
      </c>
      <c r="D43" s="12">
        <f t="shared" si="11"/>
        <v>1.2747999999999995E-2</v>
      </c>
      <c r="E43" s="10">
        <f t="shared" si="0"/>
        <v>0.77426942664532228</v>
      </c>
      <c r="F43" s="10">
        <f>D43/2*SUM($E$5:E42)</f>
        <v>0.22079538002923546</v>
      </c>
      <c r="G43" s="18">
        <f t="shared" si="5"/>
        <v>1.3162888831456776E-2</v>
      </c>
      <c r="N43" s="4">
        <v>39</v>
      </c>
      <c r="O43" s="3">
        <v>19.5</v>
      </c>
      <c r="P43" s="12">
        <f t="shared" si="12"/>
        <v>3.5823900000000013E-2</v>
      </c>
      <c r="Q43" s="10">
        <f t="shared" si="2"/>
        <v>0.48419473112062167</v>
      </c>
      <c r="R43" s="10">
        <f>P43/2*SUM($Q$5:Q42)</f>
        <v>0.50713239706528068</v>
      </c>
      <c r="S43" s="18">
        <f t="shared" si="7"/>
        <v>3.7541224726710176E-2</v>
      </c>
    </row>
    <row r="44" spans="2:26" x14ac:dyDescent="0.3">
      <c r="B44" s="4">
        <v>40</v>
      </c>
      <c r="C44" s="3">
        <v>20</v>
      </c>
      <c r="D44" s="6">
        <f>VLOOKUP(C44,par_input_IFRS17,2,FALSE)</f>
        <v>1.294E-2</v>
      </c>
      <c r="E44" s="10">
        <f t="shared" si="0"/>
        <v>0.76591419165867747</v>
      </c>
      <c r="F44" s="10">
        <f>D44/2*SUM($E$5:E43)</f>
        <v>0.22913034352129483</v>
      </c>
      <c r="G44" s="18">
        <f t="shared" si="5"/>
        <v>1.3378806394702014E-2</v>
      </c>
      <c r="N44" s="4">
        <v>40</v>
      </c>
      <c r="O44" s="3">
        <v>20</v>
      </c>
      <c r="P44" s="6">
        <f>(VLOOKUP(O44,par_input_IFRS17,2,FALSE)+VLOOKUP(O44,spread_input_IFRS17,2,FALSE))</f>
        <v>3.6051E-2</v>
      </c>
      <c r="Q44" s="10">
        <f t="shared" si="2"/>
        <v>0.47240944794767159</v>
      </c>
      <c r="R44" s="10">
        <f>P44/2*SUM($Q$5:Q43)</f>
        <v>0.51907513554834628</v>
      </c>
      <c r="S44" s="18">
        <f t="shared" si="7"/>
        <v>3.7849143924969741E-2</v>
      </c>
    </row>
    <row r="45" spans="2:26" x14ac:dyDescent="0.3">
      <c r="B45" s="4">
        <v>41</v>
      </c>
      <c r="C45" s="3">
        <v>20.5</v>
      </c>
      <c r="D45" s="12">
        <f>($D$54-$D$44)/($B$54-$B$44)+D44</f>
        <v>1.2994E-2</v>
      </c>
      <c r="E45" s="10">
        <f t="shared" si="0"/>
        <v>0.75999960915545506</v>
      </c>
      <c r="F45" s="10">
        <f>D45/2*SUM($E$5:E44)</f>
        <v>0.23506267338386372</v>
      </c>
      <c r="G45" s="18">
        <f t="shared" si="5"/>
        <v>1.3432092628414605E-2</v>
      </c>
      <c r="N45" s="4">
        <v>41</v>
      </c>
      <c r="O45" s="3">
        <v>20.5</v>
      </c>
      <c r="P45" s="12">
        <f>($P$54-$P$44)/($N$54-$N$44)+P44</f>
        <v>3.6137299999999997E-2</v>
      </c>
      <c r="Q45" s="10">
        <f t="shared" si="2"/>
        <v>0.46278459252141096</v>
      </c>
      <c r="R45" s="10">
        <f>P45/2*SUM($Q$5:Q44)</f>
        <v>0.52885351465092667</v>
      </c>
      <c r="S45" s="18">
        <f t="shared" si="7"/>
        <v>3.7940434217692331E-2</v>
      </c>
    </row>
    <row r="46" spans="2:26" x14ac:dyDescent="0.3">
      <c r="B46" s="4">
        <v>42</v>
      </c>
      <c r="C46" s="3">
        <v>21</v>
      </c>
      <c r="D46" s="12">
        <f t="shared" ref="D46:D53" si="13">($D$54-$D$44)/($B$54-$B$44)+D45</f>
        <v>1.3048000000000001E-2</v>
      </c>
      <c r="E46" s="10">
        <f t="shared" si="0"/>
        <v>0.75408258931080574</v>
      </c>
      <c r="F46" s="10">
        <f>D46/2*SUM($E$5:E45)</f>
        <v>0.24099777587653115</v>
      </c>
      <c r="G46" s="18">
        <f t="shared" si="5"/>
        <v>1.3485901263568856E-2</v>
      </c>
      <c r="N46" s="4">
        <v>42</v>
      </c>
      <c r="O46" s="3">
        <v>21</v>
      </c>
      <c r="P46" s="12">
        <f t="shared" ref="P46:P53" si="14">($P$54-$P$44)/($N$54-$N$44)+P45</f>
        <v>3.6223599999999995E-2</v>
      </c>
      <c r="Q46" s="10">
        <f t="shared" si="2"/>
        <v>0.45329173158355146</v>
      </c>
      <c r="R46" s="10">
        <f>P46/2*SUM($Q$5:Q45)</f>
        <v>0.53849833923235557</v>
      </c>
      <c r="S46" s="18">
        <f t="shared" si="7"/>
        <v>3.8034242743882007E-2</v>
      </c>
    </row>
    <row r="47" spans="2:26" x14ac:dyDescent="0.3">
      <c r="B47" s="4">
        <v>43</v>
      </c>
      <c r="C47" s="3">
        <v>21.5</v>
      </c>
      <c r="D47" s="12">
        <f t="shared" si="13"/>
        <v>1.3102000000000001E-2</v>
      </c>
      <c r="E47" s="10">
        <f t="shared" si="0"/>
        <v>0.74816362414711968</v>
      </c>
      <c r="F47" s="10">
        <f>D47/2*SUM($E$5:E46)</f>
        <v>0.24693515595109064</v>
      </c>
      <c r="G47" s="18">
        <f t="shared" si="5"/>
        <v>1.3540213454379835E-2</v>
      </c>
      <c r="N47" s="4">
        <v>43</v>
      </c>
      <c r="O47" s="3">
        <v>21.5</v>
      </c>
      <c r="P47" s="12">
        <f t="shared" si="14"/>
        <v>3.6309899999999992E-2</v>
      </c>
      <c r="Q47" s="10">
        <f t="shared" si="2"/>
        <v>0.44392971844959678</v>
      </c>
      <c r="R47" s="10">
        <f>P47/2*SUM($Q$5:Q46)</f>
        <v>0.54801075970843527</v>
      </c>
      <c r="S47" s="18">
        <f t="shared" si="7"/>
        <v>3.8130511466921924E-2</v>
      </c>
    </row>
    <row r="48" spans="2:26" x14ac:dyDescent="0.3">
      <c r="B48" s="4">
        <v>44</v>
      </c>
      <c r="C48" s="3">
        <v>22</v>
      </c>
      <c r="D48" s="12">
        <f t="shared" si="13"/>
        <v>1.3156000000000001E-2</v>
      </c>
      <c r="E48" s="10">
        <f t="shared" si="0"/>
        <v>0.74224320268014299</v>
      </c>
      <c r="F48" s="10">
        <f>D48/2*SUM($E$5:E47)</f>
        <v>0.25287432153262618</v>
      </c>
      <c r="G48" s="18">
        <f t="shared" si="5"/>
        <v>1.3595012448309518E-2</v>
      </c>
      <c r="N48" s="4">
        <v>44</v>
      </c>
      <c r="O48" s="3">
        <v>22</v>
      </c>
      <c r="P48" s="12">
        <f t="shared" si="14"/>
        <v>3.639619999999999E-2</v>
      </c>
      <c r="Q48" s="10">
        <f t="shared" si="2"/>
        <v>0.43469740474890023</v>
      </c>
      <c r="R48" s="10">
        <f>P48/2*SUM($Q$5:Q47)</f>
        <v>0.55739192840973761</v>
      </c>
      <c r="S48" s="18">
        <f t="shared" si="7"/>
        <v>3.8229191759081349E-2</v>
      </c>
    </row>
    <row r="49" spans="2:19" x14ac:dyDescent="0.3">
      <c r="B49" s="4">
        <v>45</v>
      </c>
      <c r="C49" s="3">
        <v>22.5</v>
      </c>
      <c r="D49" s="12">
        <f t="shared" si="13"/>
        <v>1.3210000000000001E-2</v>
      </c>
      <c r="E49" s="10">
        <f t="shared" si="0"/>
        <v>0.73632181087311044</v>
      </c>
      <c r="F49" s="10">
        <f>D49/2*SUM($E$5:E48)</f>
        <v>0.25881478356607635</v>
      </c>
      <c r="G49" s="18">
        <f t="shared" si="5"/>
        <v>1.3650283362201865E-2</v>
      </c>
      <c r="N49" s="4">
        <v>45</v>
      </c>
      <c r="O49" s="3">
        <v>22.5</v>
      </c>
      <c r="P49" s="12">
        <f t="shared" si="14"/>
        <v>3.6482499999999987E-2</v>
      </c>
      <c r="Q49" s="10">
        <f t="shared" si="2"/>
        <v>0.42559364069816374</v>
      </c>
      <c r="R49" s="10">
        <f>P49/2*SUM($Q$5:Q48)</f>
        <v>0.5666429993034493</v>
      </c>
      <c r="S49" s="18">
        <f t="shared" si="7"/>
        <v>3.8330243541060405E-2</v>
      </c>
    </row>
    <row r="50" spans="2:19" x14ac:dyDescent="0.3">
      <c r="B50" s="4">
        <v>46</v>
      </c>
      <c r="C50" s="3">
        <v>23</v>
      </c>
      <c r="D50" s="12">
        <f t="shared" si="13"/>
        <v>1.3264000000000001E-2</v>
      </c>
      <c r="E50" s="10">
        <f t="shared" si="0"/>
        <v>0.73039993159167482</v>
      </c>
      <c r="F50" s="10">
        <f>D50/2*SUM($E$5:E49)</f>
        <v>0.26475605606200692</v>
      </c>
      <c r="G50" s="18">
        <f t="shared" si="5"/>
        <v>1.3706012987890759E-2</v>
      </c>
      <c r="N50" s="4">
        <v>46</v>
      </c>
      <c r="O50" s="3">
        <v>23</v>
      </c>
      <c r="P50" s="12">
        <f t="shared" si="14"/>
        <v>3.6568799999999985E-2</v>
      </c>
      <c r="Q50" s="10">
        <f t="shared" si="2"/>
        <v>0.41661727537043403</v>
      </c>
      <c r="R50" s="10">
        <f>P50/2*SUM($Q$5:Q49)</f>
        <v>0.5757651277197815</v>
      </c>
      <c r="S50" s="18">
        <f t="shared" si="7"/>
        <v>3.8433634544229545E-2</v>
      </c>
    </row>
    <row r="51" spans="2:19" x14ac:dyDescent="0.3">
      <c r="B51" s="4">
        <v>47</v>
      </c>
      <c r="C51" s="3">
        <v>23.5</v>
      </c>
      <c r="D51" s="12">
        <f t="shared" si="13"/>
        <v>1.3318000000000002E-2</v>
      </c>
      <c r="E51" s="10">
        <f t="shared" si="0"/>
        <v>0.72447804455968534</v>
      </c>
      <c r="F51" s="10">
        <f>D51/2*SUM($E$5:E50)</f>
        <v>0.27069765614158964</v>
      </c>
      <c r="G51" s="18">
        <f t="shared" si="5"/>
        <v>1.3762189622901211E-2</v>
      </c>
      <c r="N51" s="4">
        <v>47</v>
      </c>
      <c r="O51" s="3">
        <v>23.5</v>
      </c>
      <c r="P51" s="12">
        <f t="shared" si="14"/>
        <v>3.6655099999999982E-2</v>
      </c>
      <c r="Q51" s="10">
        <f t="shared" si="2"/>
        <v>0.40776715695952059</v>
      </c>
      <c r="R51" s="10">
        <f>P51/2*SUM($Q$5:Q50)</f>
        <v>0.58475947008294382</v>
      </c>
      <c r="S51" s="18">
        <f t="shared" si="7"/>
        <v>3.8539339677999163E-2</v>
      </c>
    </row>
    <row r="52" spans="2:19" x14ac:dyDescent="0.3">
      <c r="B52" s="4">
        <v>48</v>
      </c>
      <c r="C52" s="3">
        <v>24</v>
      </c>
      <c r="D52" s="12">
        <f t="shared" si="13"/>
        <v>1.3372000000000002E-2</v>
      </c>
      <c r="E52" s="10">
        <f t="shared" si="0"/>
        <v>0.71855662631566819</v>
      </c>
      <c r="F52" s="10">
        <f>D52/2*SUM($E$5:E51)</f>
        <v>0.27663910408078241</v>
      </c>
      <c r="G52" s="18">
        <f t="shared" si="5"/>
        <v>1.381880292259785E-2</v>
      </c>
      <c r="N52" s="4">
        <v>48</v>
      </c>
      <c r="O52" s="3">
        <v>24</v>
      </c>
      <c r="P52" s="12">
        <f t="shared" si="14"/>
        <v>3.674139999999998E-2</v>
      </c>
      <c r="Q52" s="10">
        <f t="shared" si="2"/>
        <v>0.39904213303988711</v>
      </c>
      <c r="R52" s="10">
        <f>P52/2*SUM($Q$5:Q51)</f>
        <v>0.59362718364667921</v>
      </c>
      <c r="S52" s="18">
        <f t="shared" si="7"/>
        <v>3.8647340487740323E-2</v>
      </c>
    </row>
    <row r="53" spans="2:19" x14ac:dyDescent="0.3">
      <c r="B53" s="4">
        <v>49</v>
      </c>
      <c r="C53" s="3">
        <v>24.5</v>
      </c>
      <c r="D53" s="12">
        <f t="shared" si="13"/>
        <v>1.3426000000000002E-2</v>
      </c>
      <c r="E53" s="10">
        <f t="shared" si="0"/>
        <v>0.71263615017019655</v>
      </c>
      <c r="F53" s="10">
        <f>D53/2*SUM($E$5:E52)</f>
        <v>0.28257992335370929</v>
      </c>
      <c r="G53" s="18">
        <f t="shared" si="5"/>
        <v>1.387584377072093E-2</v>
      </c>
      <c r="N53" s="4">
        <v>49</v>
      </c>
      <c r="O53" s="3">
        <v>24.5</v>
      </c>
      <c r="P53" s="12">
        <f t="shared" si="14"/>
        <v>3.6827699999999977E-2</v>
      </c>
      <c r="Q53" s="10">
        <f t="shared" si="2"/>
        <v>0.39044105082196262</v>
      </c>
      <c r="R53" s="10">
        <f>P53/2*SUM($Q$5:Q52)</f>
        <v>0.60236942623435752</v>
      </c>
      <c r="S53" s="18">
        <f t="shared" si="7"/>
        <v>3.8757624691121428E-2</v>
      </c>
    </row>
    <row r="54" spans="2:19" x14ac:dyDescent="0.3">
      <c r="B54" s="4">
        <v>50</v>
      </c>
      <c r="C54" s="3">
        <v>25</v>
      </c>
      <c r="D54" s="6">
        <f>VLOOKUP(C54,par_input_IFRS17,2,FALSE)</f>
        <v>1.3480000000000001E-2</v>
      </c>
      <c r="E54" s="10">
        <f t="shared" si="0"/>
        <v>0.70671708616402162</v>
      </c>
      <c r="F54" s="10">
        <f>D54/2*SUM($E$5:E53)</f>
        <v>0.28851964067523672</v>
      </c>
      <c r="G54" s="18">
        <f t="shared" si="5"/>
        <v>1.393330416575056E-2</v>
      </c>
      <c r="N54" s="4">
        <v>50</v>
      </c>
      <c r="O54" s="3">
        <v>25</v>
      </c>
      <c r="P54" s="6">
        <f>(VLOOKUP(O54,par_input_IFRS17,2,FALSE)+VLOOKUP(O54,spread_input_IFRS17,2,FALSE))</f>
        <v>3.6914000000000002E-2</v>
      </c>
      <c r="Q54" s="10">
        <f t="shared" si="2"/>
        <v>0.38196275740299207</v>
      </c>
      <c r="R54" s="10">
        <f>P54/2*SUM($Q$5:Q53)</f>
        <v>0.61098735598362153</v>
      </c>
      <c r="S54" s="18">
        <f t="shared" si="7"/>
        <v>3.887018578272583E-2</v>
      </c>
    </row>
    <row r="55" spans="2:19" x14ac:dyDescent="0.3">
      <c r="B55" s="4">
        <v>51</v>
      </c>
      <c r="C55" s="3">
        <v>25.5</v>
      </c>
      <c r="D55" s="12">
        <f>($D$64-$D$54)/($B$64-$B$54)+D54</f>
        <v>1.3465000000000001E-2</v>
      </c>
      <c r="E55" s="10">
        <f t="shared" si="0"/>
        <v>0.70231510312301304</v>
      </c>
      <c r="F55" s="10">
        <f>D55/2*SUM($E$5:E54)</f>
        <v>0.29295656044521518</v>
      </c>
      <c r="G55" s="18">
        <f t="shared" si="5"/>
        <v>1.3905889568774477E-2</v>
      </c>
      <c r="N55" s="4">
        <v>51</v>
      </c>
      <c r="O55" s="3">
        <v>25.5</v>
      </c>
      <c r="P55" s="12">
        <f>($P$64-$P$54)/($N$64-$N$54)+P54</f>
        <v>3.6940100000000003E-2</v>
      </c>
      <c r="Q55" s="10">
        <f t="shared" si="2"/>
        <v>0.37460676914580221</v>
      </c>
      <c r="R55" s="10">
        <f>P55/2*SUM($Q$5:Q54)</f>
        <v>0.6184742250977342</v>
      </c>
      <c r="S55" s="18">
        <f t="shared" si="7"/>
        <v>3.8878085684021624E-2</v>
      </c>
    </row>
    <row r="56" spans="2:19" x14ac:dyDescent="0.3">
      <c r="B56" s="4">
        <v>52</v>
      </c>
      <c r="C56" s="3">
        <v>26</v>
      </c>
      <c r="D56" s="12">
        <f t="shared" ref="D56:D63" si="15">($D$64-$D$54)/($B$64-$B$54)+D55</f>
        <v>1.3450000000000002E-2</v>
      </c>
      <c r="E56" s="10">
        <f t="shared" si="0"/>
        <v>0.69795299001917199</v>
      </c>
      <c r="F56" s="10">
        <f>D56/2*SUM($E$5:E55)</f>
        <v>0.29735327612295043</v>
      </c>
      <c r="G56" s="18">
        <f t="shared" si="5"/>
        <v>1.3878838838203844E-2</v>
      </c>
      <c r="N56" s="4">
        <v>52</v>
      </c>
      <c r="O56" s="3">
        <v>26</v>
      </c>
      <c r="P56" s="12">
        <f t="shared" ref="P56:P63" si="16">($P$64-$P$54)/($N$64-$N$54)+P55</f>
        <v>3.6966200000000005E-2</v>
      </c>
      <c r="Q56" s="10">
        <f t="shared" si="2"/>
        <v>0.36737467516814165</v>
      </c>
      <c r="R56" s="10">
        <f>P56/2*SUM($Q$5:Q55)</f>
        <v>0.62583510197325842</v>
      </c>
      <c r="S56" s="18">
        <f t="shared" si="7"/>
        <v>3.8887578315483395E-2</v>
      </c>
    </row>
    <row r="57" spans="2:19" x14ac:dyDescent="0.3">
      <c r="B57" s="4">
        <v>53</v>
      </c>
      <c r="C57" s="3">
        <v>26.5</v>
      </c>
      <c r="D57" s="12">
        <f t="shared" si="15"/>
        <v>1.3435000000000002E-2</v>
      </c>
      <c r="E57" s="10">
        <f t="shared" si="0"/>
        <v>0.69363038332067972</v>
      </c>
      <c r="F57" s="10">
        <f>D57/2*SUM($E$5:E56)</f>
        <v>0.30171015457936379</v>
      </c>
      <c r="G57" s="18">
        <f t="shared" si="5"/>
        <v>1.3852129234145139E-2</v>
      </c>
      <c r="N57" s="4">
        <v>53</v>
      </c>
      <c r="O57" s="3">
        <v>26.5</v>
      </c>
      <c r="P57" s="12">
        <f t="shared" si="16"/>
        <v>3.6992300000000006E-2</v>
      </c>
      <c r="Q57" s="10">
        <f t="shared" si="2"/>
        <v>0.36026450351291683</v>
      </c>
      <c r="R57" s="10">
        <f>P57/2*SUM($Q$5:Q56)</f>
        <v>0.63307199019043259</v>
      </c>
      <c r="S57" s="18">
        <f t="shared" si="7"/>
        <v>3.8898602690382589E-2</v>
      </c>
    </row>
    <row r="58" spans="2:19" x14ac:dyDescent="0.3">
      <c r="B58" s="4">
        <v>54</v>
      </c>
      <c r="C58" s="3">
        <v>27</v>
      </c>
      <c r="D58" s="12">
        <f t="shared" si="15"/>
        <v>1.3420000000000003E-2</v>
      </c>
      <c r="E58" s="10">
        <f t="shared" si="0"/>
        <v>0.68934692309604906</v>
      </c>
      <c r="F58" s="10">
        <f>D58/2*SUM($E$5:E57)</f>
        <v>0.30602755904997997</v>
      </c>
      <c r="G58" s="18">
        <f t="shared" si="5"/>
        <v>1.3825739703250406E-2</v>
      </c>
      <c r="N58" s="4">
        <v>54</v>
      </c>
      <c r="O58" s="3">
        <v>27</v>
      </c>
      <c r="P58" s="12">
        <f t="shared" si="16"/>
        <v>3.7018400000000007E-2</v>
      </c>
      <c r="Q58" s="10">
        <f t="shared" si="2"/>
        <v>0.35327431181041102</v>
      </c>
      <c r="R58" s="10">
        <f>P58/2*SUM($Q$5:Q57)</f>
        <v>0.64018686329742769</v>
      </c>
      <c r="S58" s="18">
        <f t="shared" si="7"/>
        <v>3.8911103078325571E-2</v>
      </c>
    </row>
    <row r="59" spans="2:19" x14ac:dyDescent="0.3">
      <c r="B59" s="4">
        <v>55</v>
      </c>
      <c r="C59" s="3">
        <v>27.5</v>
      </c>
      <c r="D59" s="12">
        <f t="shared" si="15"/>
        <v>1.3405000000000004E-2</v>
      </c>
      <c r="E59" s="10">
        <f t="shared" si="0"/>
        <v>0.68510225297673277</v>
      </c>
      <c r="F59" s="10">
        <f>D59/2*SUM($E$5:E58)</f>
        <v>0.31030584917269072</v>
      </c>
      <c r="G59" s="18">
        <f t="shared" si="5"/>
        <v>1.3799650725565105E-2</v>
      </c>
      <c r="N59" s="4">
        <v>55</v>
      </c>
      <c r="O59" s="3">
        <v>27.5</v>
      </c>
      <c r="P59" s="12">
        <f t="shared" si="16"/>
        <v>3.7044500000000008E-2</v>
      </c>
      <c r="Q59" s="10">
        <f t="shared" si="2"/>
        <v>0.34640218686464219</v>
      </c>
      <c r="R59" s="10">
        <f>P59/2*SUM($Q$5:Q58)</f>
        <v>0.64718166522970277</v>
      </c>
      <c r="S59" s="18">
        <f t="shared" si="7"/>
        <v>3.8925028549998686E-2</v>
      </c>
    </row>
    <row r="60" spans="2:19" x14ac:dyDescent="0.3">
      <c r="B60" s="4">
        <v>56</v>
      </c>
      <c r="C60" s="3">
        <v>28</v>
      </c>
      <c r="D60" s="12">
        <f t="shared" si="15"/>
        <v>1.3390000000000004E-2</v>
      </c>
      <c r="E60" s="10">
        <f t="shared" si="0"/>
        <v>0.6808960201201858</v>
      </c>
      <c r="F60" s="10">
        <f>D60/2*SUM($E$5:E59)</f>
        <v>0.31454538102510621</v>
      </c>
      <c r="G60" s="18">
        <f t="shared" si="5"/>
        <v>1.3773844177785488E-2</v>
      </c>
      <c r="N60" s="4">
        <v>56</v>
      </c>
      <c r="O60" s="3">
        <v>28</v>
      </c>
      <c r="P60" s="12">
        <f t="shared" si="16"/>
        <v>3.7070600000000009E-2</v>
      </c>
      <c r="Q60" s="10">
        <f t="shared" si="2"/>
        <v>0.33964624424503542</v>
      </c>
      <c r="R60" s="10">
        <f>P60/2*SUM($Q$5:Q59)</f>
        <v>0.65405831072400877</v>
      </c>
      <c r="S60" s="18">
        <f t="shared" si="7"/>
        <v>3.8940332571571812E-2</v>
      </c>
    </row>
    <row r="61" spans="2:19" x14ac:dyDescent="0.3">
      <c r="B61" s="4">
        <v>57</v>
      </c>
      <c r="C61" s="3">
        <v>28.5</v>
      </c>
      <c r="D61" s="12">
        <f t="shared" si="15"/>
        <v>1.3375000000000005E-2</v>
      </c>
      <c r="E61" s="10">
        <f t="shared" si="0"/>
        <v>0.67672787517328048</v>
      </c>
      <c r="F61" s="10">
        <f>D61/2*SUM($E$5:E60)</f>
        <v>0.31874650716149894</v>
      </c>
      <c r="G61" s="18">
        <f t="shared" si="5"/>
        <v>1.3748303210916024E-2</v>
      </c>
      <c r="N61" s="4">
        <v>57</v>
      </c>
      <c r="O61" s="3">
        <v>28.5</v>
      </c>
      <c r="P61" s="12">
        <f t="shared" si="16"/>
        <v>3.709670000000001E-2</v>
      </c>
      <c r="Q61" s="10">
        <f t="shared" si="2"/>
        <v>0.3330046278832986</v>
      </c>
      <c r="R61" s="10">
        <f>P61/2*SUM($Q$5:Q60)</f>
        <v>0.66081868572710367</v>
      </c>
      <c r="S61" s="18">
        <f t="shared" si="7"/>
        <v>3.8956972642705257E-2</v>
      </c>
    </row>
    <row r="62" spans="2:19" x14ac:dyDescent="0.3">
      <c r="B62" s="4">
        <v>58</v>
      </c>
      <c r="C62" s="3">
        <v>29</v>
      </c>
      <c r="D62" s="12">
        <f t="shared" si="15"/>
        <v>1.3360000000000006E-2</v>
      </c>
      <c r="E62" s="10">
        <f t="shared" si="0"/>
        <v>0.67259747223611965</v>
      </c>
      <c r="F62" s="10">
        <f>D62/2*SUM($E$5:E61)</f>
        <v>0.3229095766493445</v>
      </c>
      <c r="G62" s="18">
        <f t="shared" si="5"/>
        <v>1.3723012140584689E-2</v>
      </c>
      <c r="N62" s="4">
        <v>58</v>
      </c>
      <c r="O62" s="3">
        <v>29</v>
      </c>
      <c r="P62" s="12">
        <f t="shared" si="16"/>
        <v>3.7122800000000011E-2</v>
      </c>
      <c r="Q62" s="10">
        <f t="shared" si="2"/>
        <v>0.32647550967547245</v>
      </c>
      <c r="R62" s="10">
        <f>P62/2*SUM($Q$5:Q61)</f>
        <v>0.66746464779923653</v>
      </c>
      <c r="S62" s="18">
        <f t="shared" si="7"/>
        <v>3.8974909972932625E-2</v>
      </c>
    </row>
    <row r="63" spans="2:19" x14ac:dyDescent="0.3">
      <c r="B63" s="4">
        <v>59</v>
      </c>
      <c r="C63" s="3">
        <v>29.5</v>
      </c>
      <c r="D63" s="12">
        <f t="shared" si="15"/>
        <v>1.3345000000000006E-2</v>
      </c>
      <c r="E63" s="10">
        <f t="shared" si="0"/>
        <v>0.66850446882629078</v>
      </c>
      <c r="F63" s="10">
        <f>D63/2*SUM($E$5:E62)</f>
        <v>0.32703493510546422</v>
      </c>
      <c r="G63" s="18">
        <f t="shared" si="5"/>
        <v>1.3697956348513785E-2</v>
      </c>
      <c r="N63" s="4">
        <v>59</v>
      </c>
      <c r="O63" s="3">
        <v>29.5</v>
      </c>
      <c r="P63" s="12">
        <f t="shared" si="16"/>
        <v>3.7148900000000012E-2</v>
      </c>
      <c r="Q63" s="10">
        <f t="shared" si="2"/>
        <v>0.32005708908910768</v>
      </c>
      <c r="R63" s="10">
        <f>P63/2*SUM($Q$5:Q62)</f>
        <v>0.67399802651246177</v>
      </c>
      <c r="S63" s="18">
        <f t="shared" si="7"/>
        <v>3.8994109191907711E-2</v>
      </c>
    </row>
    <row r="64" spans="2:19" ht="15" thickBot="1" x14ac:dyDescent="0.35">
      <c r="B64" s="4">
        <v>60</v>
      </c>
      <c r="C64" s="3">
        <v>30</v>
      </c>
      <c r="D64" s="7">
        <f>VLOOKUP(C64,par_input_IFRS17,2,FALSE)</f>
        <v>1.333E-2</v>
      </c>
      <c r="E64" s="11">
        <f t="shared" si="0"/>
        <v>0.66444852584348157</v>
      </c>
      <c r="F64" s="11">
        <f>D64/2*SUM($E$5:E63)</f>
        <v>0.33112292473177379</v>
      </c>
      <c r="G64" s="19">
        <f t="shared" si="5"/>
        <v>1.3673122193848197E-2</v>
      </c>
      <c r="N64" s="4">
        <v>60</v>
      </c>
      <c r="O64" s="3">
        <v>30</v>
      </c>
      <c r="P64" s="7">
        <f>(VLOOKUP(O64,par_input_IFRS17,2,FALSE)+VLOOKUP(O64,spread_input_IFRS17,2,FALSE))</f>
        <v>3.7175E-2</v>
      </c>
      <c r="Q64" s="11">
        <f t="shared" si="2"/>
        <v>0.31374759277544695</v>
      </c>
      <c r="R64" s="11">
        <f>P64/2*SUM($Q$5:Q63)</f>
        <v>0.68042062384384017</v>
      </c>
      <c r="S64" s="19">
        <f t="shared" si="7"/>
        <v>3.9014538089614081E-2</v>
      </c>
    </row>
  </sheetData>
  <sheetProtection sheet="1" objects="1" scenarios="1"/>
  <pageMargins left="0.7" right="0.7" top="0.75" bottom="0.75" header="0.3" footer="0.3"/>
  <pageSetup orientation="portrait" horizontalDpi="1200" verticalDpi="1200" r:id="rId1"/>
  <headerFooter>
    <oddHeader>&amp;C&amp;G</oddHeader>
  </headerFooter>
  <ignoredErrors>
    <ignoredError sqref="P7:P33 D7:D26" formula="1"/>
  </ignoredError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E3B0CF4F4D3D4099FAEA10BA86373A" ma:contentTypeVersion="10" ma:contentTypeDescription="Create a new document." ma:contentTypeScope="" ma:versionID="cce1325fb4f388549fd48a0b83ef244e">
  <xsd:schema xmlns:xsd="http://www.w3.org/2001/XMLSchema" xmlns:xs="http://www.w3.org/2001/XMLSchema" xmlns:p="http://schemas.microsoft.com/office/2006/metadata/properties" xmlns:ns3="aaef4bba-f204-4c78-933d-04ace15d95be" xmlns:ns4="33892a5e-531a-4e84-a82a-7ede7985160d" targetNamespace="http://schemas.microsoft.com/office/2006/metadata/properties" ma:root="true" ma:fieldsID="292f9e5daa4587cfba0daf99c5896217" ns3:_="" ns4:_="">
    <xsd:import namespace="aaef4bba-f204-4c78-933d-04ace15d95be"/>
    <xsd:import namespace="33892a5e-531a-4e84-a82a-7ede7985160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ef4bba-f204-4c78-933d-04ace15d95b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3892a5e-531a-4e84-a82a-7ede7985160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D42B5B-FEF8-4FF5-8E2A-AF2C6B2883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ef4bba-f204-4c78-933d-04ace15d95be"/>
    <ds:schemaRef ds:uri="33892a5e-531a-4e84-a82a-7ede798516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C8FAC7-F429-4181-A8AD-14D172A28D0D}">
  <ds:schemaRefs>
    <ds:schemaRef ds:uri="http://purl.org/dc/terms/"/>
    <ds:schemaRef ds:uri="http://schemas.microsoft.com/office/2006/metadata/properties"/>
    <ds:schemaRef ds:uri="33892a5e-531a-4e84-a82a-7ede7985160d"/>
    <ds:schemaRef ds:uri="http://www.w3.org/XML/1998/namespace"/>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aaef4bba-f204-4c78-933d-04ace15d95be"/>
    <ds:schemaRef ds:uri="http://purl.org/dc/dcmitype/"/>
  </ds:schemaRefs>
</ds:datastoreItem>
</file>

<file path=customXml/itemProps3.xml><?xml version="1.0" encoding="utf-8"?>
<ds:datastoreItem xmlns:ds="http://schemas.openxmlformats.org/officeDocument/2006/customXml" ds:itemID="{E816F977-E7DC-46BF-B1AE-37FF8AB19D88}">
  <ds:schemaRefs>
    <ds:schemaRef ds:uri="http://schemas.microsoft.com/DataMashup"/>
  </ds:schemaRefs>
</ds:datastoreItem>
</file>

<file path=customXml/itemProps4.xml><?xml version="1.0" encoding="utf-8"?>
<ds:datastoreItem xmlns:ds="http://schemas.openxmlformats.org/officeDocument/2006/customXml" ds:itemID="{043E4210-EAA2-4A70-8618-762F1040C2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30</vt:i4>
      </vt:variant>
    </vt:vector>
  </HeadingPairs>
  <TitlesOfParts>
    <vt:vector size="38" baseType="lpstr">
      <vt:lpstr>Introduction</vt:lpstr>
      <vt:lpstr>Données d'entrée des courbes</vt:lpstr>
      <vt:lpstr>Courbe de référence illiquide</vt:lpstr>
      <vt:lpstr>Méthode bootstrap illiquide</vt:lpstr>
      <vt:lpstr>Courbe de référence liquide</vt:lpstr>
      <vt:lpstr>Méthode bootstrap liquide</vt:lpstr>
      <vt:lpstr>Courbe d'actualisation IFRS 17</vt:lpstr>
      <vt:lpstr>Courbe bootstrap IFRS 17</vt:lpstr>
      <vt:lpstr>interest_type</vt:lpstr>
      <vt:lpstr>interest_type_IFRS17</vt:lpstr>
      <vt:lpstr>interest_type_Liq</vt:lpstr>
      <vt:lpstr>Interpolation</vt:lpstr>
      <vt:lpstr>Interpolation_IFRS17</vt:lpstr>
      <vt:lpstr>Interpolation_Liq</vt:lpstr>
      <vt:lpstr>liq_prem_add</vt:lpstr>
      <vt:lpstr>liq_prem_add_IFRS17</vt:lpstr>
      <vt:lpstr>liq_prem_add_Liq</vt:lpstr>
      <vt:lpstr>liq_prem_ult</vt:lpstr>
      <vt:lpstr>liq_prem_ult_IFRS17</vt:lpstr>
      <vt:lpstr>liq_prem_ult_Liq</vt:lpstr>
      <vt:lpstr>liq_spread_ratio</vt:lpstr>
      <vt:lpstr>liq_spread_ratio_IFRS17</vt:lpstr>
      <vt:lpstr>liq_spread_ratio_Liq</vt:lpstr>
      <vt:lpstr>obs_period</vt:lpstr>
      <vt:lpstr>obs_period_IFRS17</vt:lpstr>
      <vt:lpstr>obs_period_Liq</vt:lpstr>
      <vt:lpstr>par_input</vt:lpstr>
      <vt:lpstr>par_input_IFRS17</vt:lpstr>
      <vt:lpstr>par_input_Liq</vt:lpstr>
      <vt:lpstr>spread_input</vt:lpstr>
      <vt:lpstr>spread_input_IFRS17</vt:lpstr>
      <vt:lpstr>spread_input_Liq</vt:lpstr>
      <vt:lpstr>ult_rate</vt:lpstr>
      <vt:lpstr>ult_rate_IFRS17</vt:lpstr>
      <vt:lpstr>ult_rate_Liq</vt:lpstr>
      <vt:lpstr>ult_rate_year</vt:lpstr>
      <vt:lpstr>ult_rate_year_IFRS17</vt:lpstr>
      <vt:lpstr>ult_rate_year_Liq</vt:lpstr>
    </vt:vector>
  </TitlesOfParts>
  <Company>RBC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Marentette</dc:creator>
  <cp:lastModifiedBy>Josée Racette</cp:lastModifiedBy>
  <dcterms:created xsi:type="dcterms:W3CDTF">2020-03-10T15:24:24Z</dcterms:created>
  <dcterms:modified xsi:type="dcterms:W3CDTF">2023-06-07T15:47:18Z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6030d636-f996-45d6-8393-37298781447d</vt:lpwstr>
  </property>
  <property fmtid="{D5CDD505-2E9C-101B-9397-08002B2CF9AE}" pid="3" name="Classification">
    <vt:lpwstr>TT_RBC_Internal</vt:lpwstr>
  </property>
  <property fmtid="{D5CDD505-2E9C-101B-9397-08002B2CF9AE}" pid="4" name="ContentTypeId">
    <vt:lpwstr>0x01010075E3B0CF4F4D3D4099FAEA10BA86373A</vt:lpwstr>
  </property>
</Properties>
</file>