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pnk295\Documents\My Documents\PCFRC\Discounting\2020-11\"/>
    </mc:Choice>
  </mc:AlternateContent>
  <xr:revisionPtr revIDLastSave="0" documentId="13_ncr:1_{F4B9FBE1-435A-4E01-AA61-79D5280149AD}" xr6:coauthVersionLast="45" xr6:coauthVersionMax="45" xr10:uidLastSave="{00000000-0000-0000-0000-000000000000}"/>
  <bookViews>
    <workbookView xWindow="-108" yWindow="-108" windowWidth="23256" windowHeight="12576" activeTab="2" xr2:uid="{6EEF7A63-DF5C-4A53-85B2-2F0A8B0BED80}"/>
  </bookViews>
  <sheets>
    <sheet name="Parameters" sheetId="3" r:id="rId1"/>
    <sheet name="1-Payment Pattern" sheetId="1" r:id="rId2"/>
    <sheet name="2-Current Curve" sheetId="2" r:id="rId3"/>
    <sheet name="3-Current" sheetId="4" r:id="rId4"/>
    <sheet name="5-Summary" sheetId="11" r:id="rId5"/>
    <sheet name="6-Income Statement Calculations" sheetId="21" r:id="rId6"/>
    <sheet name="7-Financial Statements" sheetId="17" r:id="rId7"/>
  </sheets>
  <externalReferences>
    <externalReference r:id="rId8"/>
  </externalReferences>
  <definedNames>
    <definedName name="CompanyName">Parameters!$B$2</definedName>
    <definedName name="PaymentPattern">'1-Payment Pattern'!$A$12:$C$26</definedName>
    <definedName name="_xlnm.Print_Area" localSheetId="1">'1-Payment Pattern'!$A$1:$P$45</definedName>
    <definedName name="_xlnm.Print_Area" localSheetId="2">'2-Current Curve'!$A$1:$M$251,'2-Current Curve'!$O$1:$Z$38,'2-Current Curve'!$AB$1:$AJ$38</definedName>
    <definedName name="_xlnm.Print_Area" localSheetId="3">'3-Current'!$A$1:$M$47</definedName>
    <definedName name="_xlnm.Print_Area" localSheetId="4">'5-Summary'!$A$1:$E$32</definedName>
    <definedName name="_xlnm.Print_Area" localSheetId="5">'6-Income Statement Calculations'!$A$1:$M$60</definedName>
    <definedName name="_xlnm.Print_Area" localSheetId="6">'7-Financial Statements'!$A$1:$E$67</definedName>
    <definedName name="ValDate">Parameters!$B$4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H41" i="2"/>
  <c r="H42" i="2"/>
  <c r="D189" i="2" l="1"/>
  <c r="D41" i="17" l="1"/>
  <c r="D235" i="2" l="1"/>
  <c r="E235" i="2"/>
  <c r="F235" i="2"/>
  <c r="G235" i="2"/>
  <c r="H235" i="2"/>
  <c r="D236" i="2"/>
  <c r="E236" i="2"/>
  <c r="F236" i="2"/>
  <c r="G236" i="2"/>
  <c r="H236" i="2"/>
  <c r="D237" i="2"/>
  <c r="E237" i="2"/>
  <c r="F237" i="2"/>
  <c r="G237" i="2"/>
  <c r="H237" i="2"/>
  <c r="D238" i="2"/>
  <c r="E238" i="2"/>
  <c r="F238" i="2"/>
  <c r="G238" i="2"/>
  <c r="H238" i="2"/>
  <c r="D239" i="2"/>
  <c r="E239" i="2"/>
  <c r="F239" i="2"/>
  <c r="G239" i="2"/>
  <c r="H239" i="2"/>
  <c r="D240" i="2"/>
  <c r="E240" i="2"/>
  <c r="F240" i="2"/>
  <c r="G240" i="2"/>
  <c r="H240" i="2"/>
  <c r="D241" i="2"/>
  <c r="E241" i="2"/>
  <c r="F241" i="2"/>
  <c r="G241" i="2"/>
  <c r="H241" i="2"/>
  <c r="D242" i="2"/>
  <c r="E242" i="2"/>
  <c r="F242" i="2"/>
  <c r="G242" i="2"/>
  <c r="H242" i="2"/>
  <c r="D243" i="2"/>
  <c r="E243" i="2"/>
  <c r="F243" i="2"/>
  <c r="G243" i="2"/>
  <c r="H243" i="2"/>
  <c r="D244" i="2"/>
  <c r="E244" i="2"/>
  <c r="F244" i="2"/>
  <c r="G244" i="2"/>
  <c r="H244" i="2"/>
  <c r="D126" i="2"/>
  <c r="D149" i="2" s="1"/>
  <c r="E126" i="2"/>
  <c r="E149" i="2" s="1"/>
  <c r="F126" i="2"/>
  <c r="F149" i="2" s="1"/>
  <c r="G126" i="2"/>
  <c r="G149" i="2" s="1"/>
  <c r="H126" i="2"/>
  <c r="H149" i="2" s="1"/>
  <c r="D127" i="2"/>
  <c r="D150" i="2" s="1"/>
  <c r="E127" i="2"/>
  <c r="E150" i="2" s="1"/>
  <c r="F127" i="2"/>
  <c r="F150" i="2" s="1"/>
  <c r="G127" i="2"/>
  <c r="H127" i="2"/>
  <c r="H150" i="2" s="1"/>
  <c r="D128" i="2"/>
  <c r="D151" i="2" s="1"/>
  <c r="E128" i="2"/>
  <c r="E151" i="2" s="1"/>
  <c r="F128" i="2"/>
  <c r="F151" i="2" s="1"/>
  <c r="G128" i="2"/>
  <c r="G151" i="2" s="1"/>
  <c r="H128" i="2"/>
  <c r="H151" i="2" s="1"/>
  <c r="D129" i="2"/>
  <c r="D152" i="2" s="1"/>
  <c r="E129" i="2"/>
  <c r="F129" i="2"/>
  <c r="F152" i="2" s="1"/>
  <c r="G129" i="2"/>
  <c r="G152" i="2" s="1"/>
  <c r="H129" i="2"/>
  <c r="H152" i="2" s="1"/>
  <c r="D130" i="2"/>
  <c r="D153" i="2" s="1"/>
  <c r="E130" i="2"/>
  <c r="E153" i="2" s="1"/>
  <c r="F130" i="2"/>
  <c r="F153" i="2" s="1"/>
  <c r="G130" i="2"/>
  <c r="G153" i="2" s="1"/>
  <c r="H130" i="2"/>
  <c r="D131" i="2"/>
  <c r="D154" i="2" s="1"/>
  <c r="E131" i="2"/>
  <c r="E154" i="2" s="1"/>
  <c r="F131" i="2"/>
  <c r="F154" i="2" s="1"/>
  <c r="G131" i="2"/>
  <c r="G154" i="2" s="1"/>
  <c r="H131" i="2"/>
  <c r="H154" i="2" s="1"/>
  <c r="D132" i="2"/>
  <c r="D155" i="2" s="1"/>
  <c r="E132" i="2"/>
  <c r="E155" i="2" s="1"/>
  <c r="F132" i="2"/>
  <c r="G132" i="2"/>
  <c r="G155" i="2" s="1"/>
  <c r="H132" i="2"/>
  <c r="H155" i="2" s="1"/>
  <c r="D133" i="2"/>
  <c r="D156" i="2" s="1"/>
  <c r="E133" i="2"/>
  <c r="E156" i="2" s="1"/>
  <c r="F133" i="2"/>
  <c r="F156" i="2" s="1"/>
  <c r="G133" i="2"/>
  <c r="G156" i="2" s="1"/>
  <c r="H133" i="2"/>
  <c r="D134" i="2"/>
  <c r="E134" i="2"/>
  <c r="E157" i="2" s="1"/>
  <c r="F134" i="2"/>
  <c r="F157" i="2" s="1"/>
  <c r="G134" i="2"/>
  <c r="G157" i="2" s="1"/>
  <c r="H134" i="2"/>
  <c r="H157" i="2" s="1"/>
  <c r="D135" i="2"/>
  <c r="D158" i="2" s="1"/>
  <c r="E135" i="2"/>
  <c r="E158" i="2" s="1"/>
  <c r="F135" i="2"/>
  <c r="G135" i="2"/>
  <c r="H135" i="2"/>
  <c r="H158" i="2" s="1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D110" i="2"/>
  <c r="E110" i="2"/>
  <c r="F110" i="2"/>
  <c r="G110" i="2"/>
  <c r="H110" i="2"/>
  <c r="D111" i="2"/>
  <c r="E111" i="2"/>
  <c r="F111" i="2"/>
  <c r="G111" i="2"/>
  <c r="H111" i="2"/>
  <c r="F158" i="2" l="1"/>
  <c r="H156" i="2"/>
  <c r="G158" i="2"/>
  <c r="D157" i="2"/>
  <c r="F155" i="2"/>
  <c r="H153" i="2"/>
  <c r="E152" i="2"/>
  <c r="G150" i="2"/>
  <c r="H13" i="21" l="1"/>
  <c r="E13" i="21"/>
  <c r="A66" i="1" l="1"/>
  <c r="A65" i="1" l="1"/>
  <c r="A35" i="21"/>
  <c r="A36" i="21" s="1"/>
  <c r="A37" i="21" s="1"/>
  <c r="A38" i="21" s="1"/>
  <c r="A39" i="21" s="1"/>
  <c r="A40" i="21" s="1"/>
  <c r="A41" i="21" s="1"/>
  <c r="A42" i="21" s="1"/>
  <c r="A43" i="21" s="1"/>
  <c r="A15" i="21"/>
  <c r="A16" i="21" s="1"/>
  <c r="B8" i="21"/>
  <c r="C8" i="21" s="1"/>
  <c r="A3" i="21"/>
  <c r="A64" i="1" l="1"/>
  <c r="D8" i="21"/>
  <c r="E8" i="21" s="1"/>
  <c r="F8" i="21" s="1"/>
  <c r="G8" i="21" s="1"/>
  <c r="H8" i="21" s="1"/>
  <c r="A17" i="21"/>
  <c r="A63" i="1" l="1"/>
  <c r="A28" i="21"/>
  <c r="B28" i="21" s="1"/>
  <c r="C28" i="21" s="1"/>
  <c r="D28" i="21" s="1"/>
  <c r="E28" i="21" s="1"/>
  <c r="F28" i="21" s="1"/>
  <c r="G28" i="21" s="1"/>
  <c r="H28" i="21" s="1"/>
  <c r="I28" i="21" s="1"/>
  <c r="J28" i="21" s="1"/>
  <c r="K28" i="21" s="1"/>
  <c r="L28" i="21" s="1"/>
  <c r="M28" i="21" s="1"/>
  <c r="A18" i="21"/>
  <c r="A62" i="1" l="1"/>
  <c r="A19" i="21"/>
  <c r="A61" i="1" l="1"/>
  <c r="A20" i="21"/>
  <c r="A60" i="1" l="1"/>
  <c r="A21" i="21"/>
  <c r="A59" i="1" l="1"/>
  <c r="A22" i="21"/>
  <c r="A58" i="1" l="1"/>
  <c r="A23" i="21"/>
  <c r="C135" i="2"/>
  <c r="C134" i="2"/>
  <c r="C133" i="2"/>
  <c r="C132" i="2"/>
  <c r="C131" i="2"/>
  <c r="C130" i="2"/>
  <c r="C129" i="2"/>
  <c r="C128" i="2"/>
  <c r="C127" i="2"/>
  <c r="C126" i="2"/>
  <c r="C149" i="2" s="1"/>
  <c r="A127" i="2"/>
  <c r="A128" i="2" s="1"/>
  <c r="A129" i="2" s="1"/>
  <c r="A130" i="2" s="1"/>
  <c r="A131" i="2" s="1"/>
  <c r="A132" i="2" s="1"/>
  <c r="A133" i="2" s="1"/>
  <c r="A134" i="2" s="1"/>
  <c r="A135" i="2" s="1"/>
  <c r="C26" i="1"/>
  <c r="A57" i="1" l="1"/>
  <c r="C157" i="2"/>
  <c r="C153" i="2"/>
  <c r="C151" i="2"/>
  <c r="C155" i="2"/>
  <c r="C150" i="2"/>
  <c r="C154" i="2"/>
  <c r="C158" i="2"/>
  <c r="C156" i="2"/>
  <c r="C152" i="2"/>
  <c r="A103" i="2"/>
  <c r="A104" i="2" s="1"/>
  <c r="A105" i="2" s="1"/>
  <c r="A106" i="2" s="1"/>
  <c r="A107" i="2" s="1"/>
  <c r="A108" i="2" s="1"/>
  <c r="A109" i="2" s="1"/>
  <c r="A110" i="2" s="1"/>
  <c r="A111" i="2" s="1"/>
  <c r="A56" i="1" l="1"/>
  <c r="C111" i="2"/>
  <c r="C110" i="2"/>
  <c r="C109" i="2"/>
  <c r="C108" i="2"/>
  <c r="C107" i="2"/>
  <c r="C106" i="2"/>
  <c r="C105" i="2"/>
  <c r="C104" i="2"/>
  <c r="C103" i="2"/>
  <c r="C102" i="2"/>
  <c r="A55" i="1" l="1"/>
  <c r="A54" i="1" l="1"/>
  <c r="A150" i="2"/>
  <c r="A151" i="2" s="1"/>
  <c r="E207" i="2"/>
  <c r="C189" i="2"/>
  <c r="C190" i="2" s="1"/>
  <c r="A53" i="1" l="1"/>
  <c r="D190" i="2"/>
  <c r="H190" i="2" s="1"/>
  <c r="I189" i="2"/>
  <c r="C191" i="2"/>
  <c r="C192" i="2" s="1"/>
  <c r="A152" i="2"/>
  <c r="A153" i="2" s="1"/>
  <c r="A154" i="2" s="1"/>
  <c r="A155" i="2" s="1"/>
  <c r="A156" i="2" s="1"/>
  <c r="A157" i="2" s="1"/>
  <c r="A158" i="2" s="1"/>
  <c r="H189" i="2"/>
  <c r="F190" i="2" l="1"/>
  <c r="C193" i="2"/>
  <c r="C194" i="2" s="1"/>
  <c r="F192" i="2"/>
  <c r="D191" i="2"/>
  <c r="I190" i="2"/>
  <c r="C25" i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H22" i="11"/>
  <c r="H21" i="11"/>
  <c r="H20" i="11"/>
  <c r="H19" i="11"/>
  <c r="H18" i="11"/>
  <c r="H17" i="11"/>
  <c r="H16" i="11"/>
  <c r="H15" i="11"/>
  <c r="H14" i="11"/>
  <c r="H13" i="11"/>
  <c r="H12" i="11"/>
  <c r="R32" i="4"/>
  <c r="S32" i="4" s="1"/>
  <c r="T32" i="4" s="1"/>
  <c r="U32" i="4" s="1"/>
  <c r="P24" i="4"/>
  <c r="O3" i="4"/>
  <c r="G3" i="11"/>
  <c r="D192" i="2" l="1"/>
  <c r="I191" i="2"/>
  <c r="H191" i="2"/>
  <c r="C195" i="2"/>
  <c r="C196" i="2" s="1"/>
  <c r="F194" i="2"/>
  <c r="V32" i="4"/>
  <c r="W32" i="4" s="1"/>
  <c r="X32" i="4" s="1"/>
  <c r="Y32" i="4" s="1"/>
  <c r="Z32" i="4" s="1"/>
  <c r="C197" i="2" l="1"/>
  <c r="C198" i="2" s="1"/>
  <c r="F196" i="2"/>
  <c r="D193" i="2"/>
  <c r="I192" i="2"/>
  <c r="H192" i="2"/>
  <c r="D194" i="2" l="1"/>
  <c r="I193" i="2"/>
  <c r="H193" i="2"/>
  <c r="C199" i="2"/>
  <c r="C200" i="2" s="1"/>
  <c r="F198" i="2"/>
  <c r="C201" i="2" l="1"/>
  <c r="C202" i="2" s="1"/>
  <c r="F200" i="2"/>
  <c r="D195" i="2"/>
  <c r="I194" i="2"/>
  <c r="H194" i="2"/>
  <c r="D196" i="2" l="1"/>
  <c r="I195" i="2"/>
  <c r="H195" i="2"/>
  <c r="C203" i="2"/>
  <c r="C204" i="2" s="1"/>
  <c r="F202" i="2"/>
  <c r="C205" i="2" l="1"/>
  <c r="C206" i="2" s="1"/>
  <c r="F204" i="2"/>
  <c r="D197" i="2"/>
  <c r="I196" i="2"/>
  <c r="H196" i="2"/>
  <c r="D198" i="2" l="1"/>
  <c r="I197" i="2"/>
  <c r="H197" i="2"/>
  <c r="C207" i="2"/>
  <c r="F207" i="2" s="1"/>
  <c r="F206" i="2"/>
  <c r="F205" i="2" s="1"/>
  <c r="D199" i="2" l="1"/>
  <c r="I198" i="2"/>
  <c r="H198" i="2"/>
  <c r="D200" i="2" l="1"/>
  <c r="I199" i="2"/>
  <c r="H199" i="2"/>
  <c r="D201" i="2" l="1"/>
  <c r="I200" i="2"/>
  <c r="H200" i="2"/>
  <c r="D202" i="2" l="1"/>
  <c r="I201" i="2"/>
  <c r="H201" i="2"/>
  <c r="D203" i="2" l="1"/>
  <c r="I202" i="2"/>
  <c r="H202" i="2"/>
  <c r="I203" i="2" l="1"/>
  <c r="D204" i="2"/>
  <c r="H203" i="2"/>
  <c r="D205" i="2" l="1"/>
  <c r="I204" i="2"/>
  <c r="H204" i="2"/>
  <c r="A3" i="17"/>
  <c r="Z22" i="2"/>
  <c r="Z21" i="2"/>
  <c r="Z20" i="2"/>
  <c r="Z19" i="2"/>
  <c r="Z18" i="2"/>
  <c r="Z17" i="2"/>
  <c r="Z16" i="2"/>
  <c r="Z15" i="2"/>
  <c r="Z14" i="2"/>
  <c r="Z13" i="2"/>
  <c r="W22" i="2"/>
  <c r="W21" i="2"/>
  <c r="W20" i="2"/>
  <c r="W19" i="2"/>
  <c r="W18" i="2"/>
  <c r="W17" i="2"/>
  <c r="W16" i="2"/>
  <c r="W15" i="2"/>
  <c r="W14" i="2"/>
  <c r="W13" i="2"/>
  <c r="D206" i="2" l="1"/>
  <c r="I205" i="2"/>
  <c r="H205" i="2"/>
  <c r="I13" i="2"/>
  <c r="B236" i="2"/>
  <c r="B237" i="2" s="1"/>
  <c r="B238" i="2" s="1"/>
  <c r="B239" i="2" s="1"/>
  <c r="B240" i="2" s="1"/>
  <c r="B241" i="2" s="1"/>
  <c r="B242" i="2" s="1"/>
  <c r="B243" i="2" s="1"/>
  <c r="B244" i="2" s="1"/>
  <c r="A81" i="2"/>
  <c r="A82" i="2" s="1"/>
  <c r="A83" i="2" s="1"/>
  <c r="A84" i="2" s="1"/>
  <c r="A85" i="2" s="1"/>
  <c r="A86" i="2" s="1"/>
  <c r="A87" i="2" s="1"/>
  <c r="A88" i="2" s="1"/>
  <c r="A89" i="2" s="1"/>
  <c r="C179" i="2"/>
  <c r="I179" i="2" s="1"/>
  <c r="D207" i="2" l="1"/>
  <c r="H206" i="2"/>
  <c r="I206" i="2"/>
  <c r="C243" i="2"/>
  <c r="I41" i="2"/>
  <c r="I42" i="2"/>
  <c r="I207" i="2" l="1"/>
  <c r="H207" i="2"/>
  <c r="J42" i="2"/>
  <c r="J41" i="2"/>
  <c r="F43" i="2" l="1"/>
  <c r="H188" i="2" l="1"/>
  <c r="J43" i="2"/>
  <c r="J188" i="2" l="1"/>
  <c r="I188" i="2"/>
  <c r="H43" i="2"/>
  <c r="I43" i="2"/>
  <c r="A58" i="2" l="1"/>
  <c r="A59" i="2" s="1"/>
  <c r="A60" i="2" s="1"/>
  <c r="A61" i="2" s="1"/>
  <c r="A62" i="2" s="1"/>
  <c r="A63" i="2" s="1"/>
  <c r="A64" i="2" s="1"/>
  <c r="A65" i="2" s="1"/>
  <c r="A66" i="2" s="1"/>
  <c r="B21" i="11" l="1"/>
  <c r="B20" i="11"/>
  <c r="B19" i="11"/>
  <c r="B18" i="11"/>
  <c r="B17" i="11"/>
  <c r="B16" i="11"/>
  <c r="B15" i="11"/>
  <c r="B14" i="11"/>
  <c r="B13" i="11"/>
  <c r="B12" i="11"/>
  <c r="B22" i="11"/>
  <c r="B23" i="11" l="1"/>
  <c r="D16" i="17" s="1"/>
  <c r="R22" i="2" l="1"/>
  <c r="R21" i="2"/>
  <c r="R20" i="2"/>
  <c r="R19" i="2"/>
  <c r="R18" i="2"/>
  <c r="R17" i="2"/>
  <c r="R16" i="2"/>
  <c r="R15" i="2"/>
  <c r="R14" i="2"/>
  <c r="R13" i="2"/>
  <c r="P14" i="2"/>
  <c r="P15" i="2" s="1"/>
  <c r="P16" i="2" s="1"/>
  <c r="P17" i="2" s="1"/>
  <c r="P18" i="2" s="1"/>
  <c r="P19" i="2" s="1"/>
  <c r="P20" i="2" s="1"/>
  <c r="P21" i="2" s="1"/>
  <c r="P22" i="2" s="1"/>
  <c r="C180" i="2"/>
  <c r="I180" i="2" s="1"/>
  <c r="C178" i="2"/>
  <c r="I178" i="2" s="1"/>
  <c r="C177" i="2"/>
  <c r="I177" i="2" s="1"/>
  <c r="C176" i="2"/>
  <c r="I176" i="2" s="1"/>
  <c r="C175" i="2"/>
  <c r="I175" i="2" s="1"/>
  <c r="C174" i="2"/>
  <c r="I174" i="2" s="1"/>
  <c r="C173" i="2"/>
  <c r="I173" i="2" s="1"/>
  <c r="C172" i="2"/>
  <c r="I172" i="2" s="1"/>
  <c r="C171" i="2"/>
  <c r="I171" i="2" s="1"/>
  <c r="B172" i="2"/>
  <c r="B173" i="2" s="1"/>
  <c r="B174" i="2" s="1"/>
  <c r="B175" i="2" s="1"/>
  <c r="B176" i="2" s="1"/>
  <c r="B177" i="2" s="1"/>
  <c r="B178" i="2" s="1"/>
  <c r="B179" i="2" s="1"/>
  <c r="B180" i="2" s="1"/>
  <c r="B25" i="2"/>
  <c r="B26" i="2" s="1"/>
  <c r="B27" i="2" s="1"/>
  <c r="B28" i="2" s="1"/>
  <c r="B29" i="2" s="1"/>
  <c r="B30" i="2" s="1"/>
  <c r="B31" i="2" s="1"/>
  <c r="B32" i="2" s="1"/>
  <c r="B33" i="2" s="1"/>
  <c r="C236" i="2" l="1"/>
  <c r="C240" i="2"/>
  <c r="C239" i="2"/>
  <c r="C244" i="2"/>
  <c r="C237" i="2"/>
  <c r="C241" i="2"/>
  <c r="C238" i="2"/>
  <c r="C242" i="2"/>
  <c r="C235" i="2"/>
  <c r="A3" i="11"/>
  <c r="A3" i="4"/>
  <c r="A3" i="2"/>
  <c r="O3" i="2"/>
  <c r="AB3" i="2"/>
  <c r="A3" i="1"/>
  <c r="D32" i="4"/>
  <c r="E32" i="4" s="1"/>
  <c r="F32" i="4" s="1"/>
  <c r="G32" i="4" s="1"/>
  <c r="H32" i="4" s="1"/>
  <c r="I32" i="4" s="1"/>
  <c r="J32" i="4" s="1"/>
  <c r="K32" i="4" s="1"/>
  <c r="L32" i="4" s="1"/>
  <c r="B24" i="4"/>
  <c r="B4" i="3"/>
  <c r="A23" i="4" l="1"/>
  <c r="A22" i="11"/>
  <c r="A24" i="2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A5" i="21"/>
  <c r="C12" i="4"/>
  <c r="D12" i="4" s="1"/>
  <c r="E12" i="4" s="1"/>
  <c r="F12" i="4" s="1"/>
  <c r="G12" i="4" s="1"/>
  <c r="H12" i="4" s="1"/>
  <c r="I12" i="4" s="1"/>
  <c r="J12" i="4" s="1"/>
  <c r="K12" i="4" s="1"/>
  <c r="L12" i="4" s="1"/>
  <c r="A5" i="1"/>
  <c r="B188" i="2"/>
  <c r="O7" i="4"/>
  <c r="E11" i="1"/>
  <c r="F11" i="1" s="1"/>
  <c r="G11" i="1" s="1"/>
  <c r="H11" i="1" s="1"/>
  <c r="I11" i="1" s="1"/>
  <c r="J11" i="1" s="1"/>
  <c r="K11" i="1" s="1"/>
  <c r="L11" i="1" s="1"/>
  <c r="M11" i="1" s="1"/>
  <c r="N11" i="1" s="1"/>
  <c r="Q12" i="4"/>
  <c r="R12" i="4" s="1"/>
  <c r="S12" i="4" s="1"/>
  <c r="T12" i="4" s="1"/>
  <c r="U12" i="4" s="1"/>
  <c r="V12" i="4" s="1"/>
  <c r="W12" i="4" s="1"/>
  <c r="X12" i="4" s="1"/>
  <c r="Y12" i="4" s="1"/>
  <c r="Z12" i="4" s="1"/>
  <c r="G5" i="11"/>
  <c r="A5" i="17"/>
  <c r="O6" i="2"/>
  <c r="AB6" i="2"/>
  <c r="A6" i="2"/>
  <c r="A5" i="11"/>
  <c r="A7" i="4"/>
  <c r="AB13" i="2"/>
  <c r="AB14" i="2" s="1"/>
  <c r="AB15" i="2" s="1"/>
  <c r="AB16" i="2" s="1"/>
  <c r="AB17" i="2" s="1"/>
  <c r="AB18" i="2" s="1"/>
  <c r="AB19" i="2" s="1"/>
  <c r="AB20" i="2" s="1"/>
  <c r="AB21" i="2" s="1"/>
  <c r="AB22" i="2" s="1"/>
  <c r="D12" i="1"/>
  <c r="D26" i="1"/>
  <c r="O13" i="2" l="1"/>
  <c r="O14" i="2" s="1"/>
  <c r="O15" i="2" s="1"/>
  <c r="O16" i="2" s="1"/>
  <c r="O17" i="2" s="1"/>
  <c r="O18" i="2" s="1"/>
  <c r="O19" i="2" s="1"/>
  <c r="O20" i="2" s="1"/>
  <c r="O21" i="2" s="1"/>
  <c r="O22" i="2" s="1"/>
  <c r="A171" i="2"/>
  <c r="A172" i="2" s="1"/>
  <c r="A173" i="2" s="1"/>
  <c r="A174" i="2" s="1"/>
  <c r="A175" i="2" s="1"/>
  <c r="A176" i="2" s="1"/>
  <c r="A177" i="2" s="1"/>
  <c r="A178" i="2" s="1"/>
  <c r="A179" i="2" s="1"/>
  <c r="A180" i="2" s="1"/>
  <c r="A235" i="2"/>
  <c r="A236" i="2" s="1"/>
  <c r="A237" i="2" s="1"/>
  <c r="A238" i="2" s="1"/>
  <c r="A239" i="2" s="1"/>
  <c r="A240" i="2" s="1"/>
  <c r="A241" i="2" s="1"/>
  <c r="A242" i="2" s="1"/>
  <c r="A243" i="2" s="1"/>
  <c r="A244" i="2" s="1"/>
  <c r="A25" i="2"/>
  <c r="A26" i="2" s="1"/>
  <c r="A27" i="2" s="1"/>
  <c r="A28" i="2" s="1"/>
  <c r="A29" i="2" s="1"/>
  <c r="A30" i="2" s="1"/>
  <c r="A31" i="2" s="1"/>
  <c r="A32" i="2" s="1"/>
  <c r="A33" i="2" s="1"/>
  <c r="G22" i="11"/>
  <c r="G21" i="11" s="1"/>
  <c r="G20" i="11" s="1"/>
  <c r="G19" i="11" s="1"/>
  <c r="G18" i="11" s="1"/>
  <c r="G17" i="11" s="1"/>
  <c r="G16" i="11" s="1"/>
  <c r="G15" i="11" s="1"/>
  <c r="G14" i="11" s="1"/>
  <c r="G13" i="11" s="1"/>
  <c r="G12" i="11" s="1"/>
  <c r="A21" i="11"/>
  <c r="A20" i="11" s="1"/>
  <c r="A19" i="11" s="1"/>
  <c r="A18" i="11" s="1"/>
  <c r="A17" i="11" s="1"/>
  <c r="A16" i="11" s="1"/>
  <c r="A15" i="11" s="1"/>
  <c r="A14" i="11" s="1"/>
  <c r="A13" i="11" s="1"/>
  <c r="A12" i="11" s="1"/>
  <c r="O23" i="4"/>
  <c r="O22" i="4" s="1"/>
  <c r="O21" i="4" s="1"/>
  <c r="O20" i="4" s="1"/>
  <c r="O19" i="4" s="1"/>
  <c r="O18" i="4" s="1"/>
  <c r="O17" i="4" s="1"/>
  <c r="O16" i="4" s="1"/>
  <c r="O15" i="4" s="1"/>
  <c r="O14" i="4" s="1"/>
  <c r="O13" i="4" s="1"/>
  <c r="A22" i="4"/>
  <c r="A21" i="4" s="1"/>
  <c r="A20" i="4" s="1"/>
  <c r="A19" i="4" s="1"/>
  <c r="A18" i="4" s="1"/>
  <c r="A17" i="4" s="1"/>
  <c r="A16" i="4" s="1"/>
  <c r="A15" i="4" s="1"/>
  <c r="A14" i="4" s="1"/>
  <c r="A13" i="4" s="1"/>
  <c r="O11" i="1"/>
  <c r="N26" i="1"/>
  <c r="L23" i="4" s="1"/>
  <c r="N12" i="1"/>
  <c r="B189" i="2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E12" i="1"/>
  <c r="M12" i="1"/>
  <c r="L12" i="1"/>
  <c r="G12" i="1"/>
  <c r="K12" i="1"/>
  <c r="H12" i="1"/>
  <c r="J12" i="1"/>
  <c r="F12" i="1"/>
  <c r="I12" i="1"/>
  <c r="D19" i="1"/>
  <c r="N19" i="1" s="1"/>
  <c r="L16" i="4" s="1"/>
  <c r="D20" i="1"/>
  <c r="N20" i="1" s="1"/>
  <c r="L17" i="4" s="1"/>
  <c r="D14" i="1"/>
  <c r="N14" i="1" s="1"/>
  <c r="D22" i="1"/>
  <c r="N22" i="1" s="1"/>
  <c r="L19" i="4" s="1"/>
  <c r="D13" i="1"/>
  <c r="N13" i="1" s="1"/>
  <c r="D15" i="1"/>
  <c r="N15" i="1" s="1"/>
  <c r="D23" i="1"/>
  <c r="N23" i="1" s="1"/>
  <c r="L20" i="4" s="1"/>
  <c r="D16" i="1"/>
  <c r="N16" i="1" s="1"/>
  <c r="L13" i="4" s="1"/>
  <c r="D24" i="1"/>
  <c r="N24" i="1" s="1"/>
  <c r="L21" i="4" s="1"/>
  <c r="D21" i="1"/>
  <c r="N21" i="1" s="1"/>
  <c r="L18" i="4" s="1"/>
  <c r="D17" i="1"/>
  <c r="N17" i="1" s="1"/>
  <c r="L14" i="4" s="1"/>
  <c r="D25" i="1"/>
  <c r="N25" i="1" s="1"/>
  <c r="L22" i="4" s="1"/>
  <c r="E26" i="1"/>
  <c r="F26" i="1"/>
  <c r="R22" i="4" s="1"/>
  <c r="G26" i="1"/>
  <c r="S22" i="4" s="1"/>
  <c r="H26" i="1"/>
  <c r="T22" i="4" s="1"/>
  <c r="I26" i="1"/>
  <c r="U22" i="4" s="1"/>
  <c r="J26" i="1"/>
  <c r="V22" i="4" s="1"/>
  <c r="K26" i="1"/>
  <c r="W22" i="4" s="1"/>
  <c r="L26" i="1"/>
  <c r="X22" i="4" s="1"/>
  <c r="M26" i="1"/>
  <c r="Y22" i="4" s="1"/>
  <c r="D18" i="1"/>
  <c r="N18" i="1" s="1"/>
  <c r="L15" i="4" s="1"/>
  <c r="P12" i="1" l="1"/>
  <c r="Q22" i="4"/>
  <c r="P26" i="1"/>
  <c r="Z22" i="4"/>
  <c r="L24" i="4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H211" i="2"/>
  <c r="C23" i="4"/>
  <c r="E23" i="1"/>
  <c r="F23" i="1"/>
  <c r="R19" i="4" s="1"/>
  <c r="G23" i="1"/>
  <c r="S19" i="4" s="1"/>
  <c r="H23" i="1"/>
  <c r="T19" i="4" s="1"/>
  <c r="I23" i="1"/>
  <c r="U19" i="4" s="1"/>
  <c r="J23" i="1"/>
  <c r="V19" i="4" s="1"/>
  <c r="K23" i="1"/>
  <c r="W19" i="4" s="1"/>
  <c r="L23" i="1"/>
  <c r="X19" i="4" s="1"/>
  <c r="M23" i="1"/>
  <c r="Y19" i="4" s="1"/>
  <c r="Z19" i="4"/>
  <c r="D23" i="4"/>
  <c r="G23" i="4"/>
  <c r="E24" i="1"/>
  <c r="F24" i="1"/>
  <c r="R20" i="4" s="1"/>
  <c r="G24" i="1"/>
  <c r="S20" i="4" s="1"/>
  <c r="H24" i="1"/>
  <c r="T20" i="4" s="1"/>
  <c r="I24" i="1"/>
  <c r="U20" i="4" s="1"/>
  <c r="J24" i="1"/>
  <c r="V20" i="4" s="1"/>
  <c r="K24" i="1"/>
  <c r="W20" i="4" s="1"/>
  <c r="L24" i="1"/>
  <c r="X20" i="4" s="1"/>
  <c r="M24" i="1"/>
  <c r="Y20" i="4" s="1"/>
  <c r="Z20" i="4"/>
  <c r="E19" i="1"/>
  <c r="J19" i="1"/>
  <c r="V15" i="4" s="1"/>
  <c r="L19" i="1"/>
  <c r="X15" i="4" s="1"/>
  <c r="G19" i="1"/>
  <c r="S15" i="4" s="1"/>
  <c r="F19" i="1"/>
  <c r="R15" i="4" s="1"/>
  <c r="I19" i="1"/>
  <c r="U15" i="4" s="1"/>
  <c r="H19" i="1"/>
  <c r="T15" i="4" s="1"/>
  <c r="K19" i="1"/>
  <c r="W15" i="4" s="1"/>
  <c r="M19" i="1"/>
  <c r="Y15" i="4" s="1"/>
  <c r="Z15" i="4"/>
  <c r="F23" i="4"/>
  <c r="E16" i="1"/>
  <c r="M16" i="1"/>
  <c r="K13" i="4" s="1"/>
  <c r="F16" i="1"/>
  <c r="D13" i="4" s="1"/>
  <c r="K16" i="1"/>
  <c r="I13" i="4" s="1"/>
  <c r="G16" i="1"/>
  <c r="E13" i="4" s="1"/>
  <c r="L16" i="1"/>
  <c r="J13" i="4" s="1"/>
  <c r="I16" i="1"/>
  <c r="G13" i="4" s="1"/>
  <c r="H16" i="1"/>
  <c r="F13" i="4" s="1"/>
  <c r="J16" i="1"/>
  <c r="H13" i="4" s="1"/>
  <c r="K23" i="4"/>
  <c r="E13" i="1"/>
  <c r="H13" i="1"/>
  <c r="M13" i="1"/>
  <c r="L13" i="1"/>
  <c r="F13" i="1"/>
  <c r="G13" i="1"/>
  <c r="I13" i="1"/>
  <c r="J13" i="1"/>
  <c r="K13" i="1"/>
  <c r="E23" i="4"/>
  <c r="E18" i="1"/>
  <c r="H18" i="1"/>
  <c r="T14" i="4" s="1"/>
  <c r="M18" i="1"/>
  <c r="Y14" i="4" s="1"/>
  <c r="K18" i="1"/>
  <c r="W14" i="4" s="1"/>
  <c r="F18" i="1"/>
  <c r="R14" i="4" s="1"/>
  <c r="J18" i="1"/>
  <c r="V14" i="4" s="1"/>
  <c r="Z14" i="4"/>
  <c r="I18" i="1"/>
  <c r="U14" i="4" s="1"/>
  <c r="L18" i="1"/>
  <c r="X14" i="4" s="1"/>
  <c r="G18" i="1"/>
  <c r="S14" i="4" s="1"/>
  <c r="J23" i="4"/>
  <c r="E25" i="1"/>
  <c r="F25" i="1"/>
  <c r="R21" i="4" s="1"/>
  <c r="G25" i="1"/>
  <c r="S21" i="4" s="1"/>
  <c r="H25" i="1"/>
  <c r="T21" i="4" s="1"/>
  <c r="I25" i="1"/>
  <c r="U21" i="4" s="1"/>
  <c r="J25" i="1"/>
  <c r="V21" i="4" s="1"/>
  <c r="K25" i="1"/>
  <c r="W21" i="4" s="1"/>
  <c r="L25" i="1"/>
  <c r="X21" i="4" s="1"/>
  <c r="M25" i="1"/>
  <c r="Y21" i="4" s="1"/>
  <c r="Z21" i="4"/>
  <c r="E22" i="1"/>
  <c r="I22" i="1"/>
  <c r="U18" i="4" s="1"/>
  <c r="F22" i="1"/>
  <c r="R18" i="4" s="1"/>
  <c r="G22" i="1"/>
  <c r="S18" i="4" s="1"/>
  <c r="H22" i="1"/>
  <c r="T18" i="4" s="1"/>
  <c r="J22" i="1"/>
  <c r="V18" i="4" s="1"/>
  <c r="K22" i="1"/>
  <c r="W18" i="4" s="1"/>
  <c r="L22" i="1"/>
  <c r="X18" i="4" s="1"/>
  <c r="M22" i="1"/>
  <c r="Y18" i="4" s="1"/>
  <c r="Z18" i="4"/>
  <c r="E15" i="1"/>
  <c r="G15" i="1"/>
  <c r="L15" i="1"/>
  <c r="F15" i="1"/>
  <c r="H15" i="1"/>
  <c r="M15" i="1"/>
  <c r="I15" i="1"/>
  <c r="K15" i="1"/>
  <c r="J15" i="1"/>
  <c r="I23" i="4"/>
  <c r="E17" i="1"/>
  <c r="K17" i="1"/>
  <c r="I14" i="4" s="1"/>
  <c r="H17" i="1"/>
  <c r="F14" i="4" s="1"/>
  <c r="I17" i="1"/>
  <c r="G14" i="4" s="1"/>
  <c r="M17" i="1"/>
  <c r="K14" i="4" s="1"/>
  <c r="L17" i="1"/>
  <c r="J14" i="4" s="1"/>
  <c r="F17" i="1"/>
  <c r="D14" i="4" s="1"/>
  <c r="G17" i="1"/>
  <c r="E14" i="4" s="1"/>
  <c r="J17" i="1"/>
  <c r="H14" i="4" s="1"/>
  <c r="E14" i="1"/>
  <c r="I14" i="1"/>
  <c r="G14" i="1"/>
  <c r="K14" i="1"/>
  <c r="J14" i="1"/>
  <c r="H14" i="1"/>
  <c r="M14" i="1"/>
  <c r="F14" i="1"/>
  <c r="L14" i="1"/>
  <c r="H23" i="4"/>
  <c r="E21" i="1"/>
  <c r="I21" i="1"/>
  <c r="U17" i="4" s="1"/>
  <c r="H21" i="1"/>
  <c r="T17" i="4" s="1"/>
  <c r="F21" i="1"/>
  <c r="R17" i="4" s="1"/>
  <c r="J21" i="1"/>
  <c r="V17" i="4" s="1"/>
  <c r="G21" i="1"/>
  <c r="S17" i="4" s="1"/>
  <c r="K21" i="1"/>
  <c r="W17" i="4" s="1"/>
  <c r="L21" i="1"/>
  <c r="X17" i="4" s="1"/>
  <c r="M21" i="1"/>
  <c r="Y17" i="4" s="1"/>
  <c r="Z17" i="4"/>
  <c r="E20" i="1"/>
  <c r="J20" i="1"/>
  <c r="V16" i="4" s="1"/>
  <c r="G20" i="1"/>
  <c r="S16" i="4" s="1"/>
  <c r="L20" i="1"/>
  <c r="X16" i="4" s="1"/>
  <c r="K20" i="1"/>
  <c r="W16" i="4" s="1"/>
  <c r="I20" i="1"/>
  <c r="U16" i="4" s="1"/>
  <c r="F20" i="1"/>
  <c r="R16" i="4" s="1"/>
  <c r="H20" i="1"/>
  <c r="T16" i="4" s="1"/>
  <c r="M20" i="1"/>
  <c r="Y16" i="4" s="1"/>
  <c r="Z16" i="4"/>
  <c r="C19" i="4"/>
  <c r="C15" i="4"/>
  <c r="Q21" i="4" l="1"/>
  <c r="P25" i="1"/>
  <c r="Q19" i="4"/>
  <c r="P23" i="1"/>
  <c r="P14" i="1"/>
  <c r="C14" i="4"/>
  <c r="P17" i="1"/>
  <c r="Q15" i="4"/>
  <c r="P19" i="1"/>
  <c r="Q14" i="4"/>
  <c r="P18" i="1"/>
  <c r="P15" i="1"/>
  <c r="Q20" i="4"/>
  <c r="P24" i="1"/>
  <c r="Q16" i="4"/>
  <c r="P20" i="1"/>
  <c r="P13" i="1"/>
  <c r="Q18" i="4"/>
  <c r="P22" i="1"/>
  <c r="Q17" i="4"/>
  <c r="P21" i="1"/>
  <c r="P16" i="1"/>
  <c r="C18" i="4"/>
  <c r="C13" i="4"/>
  <c r="C17" i="4"/>
  <c r="C16" i="4"/>
  <c r="C20" i="4"/>
  <c r="C22" i="4"/>
  <c r="S24" i="4"/>
  <c r="U24" i="4"/>
  <c r="Z24" i="4"/>
  <c r="W24" i="4"/>
  <c r="X24" i="4"/>
  <c r="V24" i="4"/>
  <c r="T24" i="4"/>
  <c r="Y24" i="4"/>
  <c r="R24" i="4"/>
  <c r="J20" i="4"/>
  <c r="G17" i="4"/>
  <c r="H18" i="4"/>
  <c r="I19" i="4"/>
  <c r="H22" i="4"/>
  <c r="D16" i="4"/>
  <c r="F21" i="4"/>
  <c r="I20" i="4"/>
  <c r="I17" i="4"/>
  <c r="H19" i="4"/>
  <c r="G22" i="4"/>
  <c r="H15" i="4"/>
  <c r="E16" i="4"/>
  <c r="E21" i="4"/>
  <c r="H20" i="4"/>
  <c r="J19" i="4"/>
  <c r="G16" i="4"/>
  <c r="J17" i="4"/>
  <c r="F18" i="4"/>
  <c r="F19" i="4"/>
  <c r="F22" i="4"/>
  <c r="D15" i="4"/>
  <c r="J16" i="4"/>
  <c r="D21" i="4"/>
  <c r="G20" i="4"/>
  <c r="G15" i="4"/>
  <c r="G21" i="4"/>
  <c r="E17" i="4"/>
  <c r="G18" i="4"/>
  <c r="E19" i="4"/>
  <c r="E22" i="4"/>
  <c r="I15" i="4"/>
  <c r="H16" i="4"/>
  <c r="K21" i="4"/>
  <c r="C21" i="4"/>
  <c r="F20" i="4"/>
  <c r="E18" i="4"/>
  <c r="H17" i="4"/>
  <c r="K18" i="4"/>
  <c r="D19" i="4"/>
  <c r="D22" i="4"/>
  <c r="K15" i="4"/>
  <c r="K16" i="4"/>
  <c r="J21" i="4"/>
  <c r="E20" i="4"/>
  <c r="D17" i="4"/>
  <c r="I22" i="4"/>
  <c r="K17" i="4"/>
  <c r="J18" i="4"/>
  <c r="G19" i="4"/>
  <c r="K22" i="4"/>
  <c r="E15" i="4"/>
  <c r="F15" i="4"/>
  <c r="I16" i="4"/>
  <c r="I21" i="4"/>
  <c r="D20" i="4"/>
  <c r="D18" i="4"/>
  <c r="F17" i="4"/>
  <c r="I18" i="4"/>
  <c r="K19" i="4"/>
  <c r="J22" i="4"/>
  <c r="J15" i="4"/>
  <c r="F16" i="4"/>
  <c r="H21" i="4"/>
  <c r="K20" i="4"/>
  <c r="Q24" i="4" l="1"/>
  <c r="B14" i="21" s="1" a="1"/>
  <c r="C24" i="4"/>
  <c r="H23" i="11"/>
  <c r="E16" i="17" s="1"/>
  <c r="K24" i="4"/>
  <c r="D24" i="4"/>
  <c r="J24" i="4"/>
  <c r="G24" i="4"/>
  <c r="F24" i="4"/>
  <c r="I24" i="4"/>
  <c r="E24" i="4"/>
  <c r="H24" i="4"/>
  <c r="C14" i="21" l="1" a="1"/>
  <c r="B23" i="21"/>
  <c r="B19" i="21"/>
  <c r="B15" i="21"/>
  <c r="B21" i="21"/>
  <c r="B17" i="21"/>
  <c r="B22" i="21"/>
  <c r="B18" i="21"/>
  <c r="B14" i="21"/>
  <c r="B20" i="21"/>
  <c r="B16" i="21"/>
  <c r="AD13" i="2"/>
  <c r="AE13" i="2" s="1"/>
  <c r="AJ13" i="2" s="1"/>
  <c r="C17" i="21" l="1"/>
  <c r="C20" i="21"/>
  <c r="C16" i="21"/>
  <c r="C23" i="21"/>
  <c r="C15" i="21"/>
  <c r="C22" i="21"/>
  <c r="C19" i="21"/>
  <c r="C14" i="21"/>
  <c r="C18" i="21"/>
  <c r="C21" i="21"/>
  <c r="G14" i="21"/>
  <c r="H14" i="21" s="1"/>
  <c r="D35" i="21" s="1"/>
  <c r="C34" i="21"/>
  <c r="D34" i="21"/>
  <c r="B24" i="21"/>
  <c r="AD14" i="2"/>
  <c r="AE14" i="2" s="1"/>
  <c r="AJ14" i="2" s="1"/>
  <c r="I34" i="21" l="1"/>
  <c r="G15" i="21"/>
  <c r="H15" i="21" s="1"/>
  <c r="D36" i="21" s="1"/>
  <c r="F14" i="21"/>
  <c r="E14" i="21"/>
  <c r="H34" i="21"/>
  <c r="E35" i="21"/>
  <c r="I35" i="21" s="1"/>
  <c r="C24" i="21"/>
  <c r="AD15" i="2"/>
  <c r="AE15" i="2" s="1"/>
  <c r="AJ15" i="2" s="1"/>
  <c r="E36" i="21" l="1"/>
  <c r="I36" i="21" s="1"/>
  <c r="F15" i="21"/>
  <c r="E15" i="21"/>
  <c r="B34" i="21"/>
  <c r="C35" i="21"/>
  <c r="G16" i="21"/>
  <c r="H16" i="21" s="1"/>
  <c r="AD16" i="2"/>
  <c r="AE16" i="2" s="1"/>
  <c r="AJ16" i="2" s="1"/>
  <c r="H35" i="21" l="1"/>
  <c r="B35" i="21"/>
  <c r="F35" i="21" s="1"/>
  <c r="C36" i="21"/>
  <c r="G17" i="21"/>
  <c r="H17" i="21" s="1"/>
  <c r="D37" i="21"/>
  <c r="E37" i="21"/>
  <c r="F34" i="21"/>
  <c r="K34" i="21"/>
  <c r="L34" i="21" s="1"/>
  <c r="G34" i="21"/>
  <c r="F16" i="21"/>
  <c r="E16" i="21"/>
  <c r="AD17" i="2"/>
  <c r="AE17" i="2" s="1"/>
  <c r="AJ17" i="2" s="1"/>
  <c r="I37" i="21" l="1"/>
  <c r="B36" i="21"/>
  <c r="F36" i="21" s="1"/>
  <c r="C37" i="21"/>
  <c r="H37" i="21" s="1"/>
  <c r="M34" i="21"/>
  <c r="E17" i="21"/>
  <c r="F17" i="21"/>
  <c r="G18" i="21"/>
  <c r="H18" i="21" s="1"/>
  <c r="D38" i="21"/>
  <c r="E38" i="21"/>
  <c r="H36" i="21"/>
  <c r="G35" i="21"/>
  <c r="M35" i="21" s="1"/>
  <c r="K35" i="21"/>
  <c r="L35" i="21" s="1"/>
  <c r="AD18" i="2"/>
  <c r="AE18" i="2" s="1"/>
  <c r="AJ18" i="2" s="1"/>
  <c r="I38" i="21" l="1"/>
  <c r="G19" i="21"/>
  <c r="H19" i="21" s="1"/>
  <c r="B37" i="21"/>
  <c r="F37" i="21" s="1"/>
  <c r="C38" i="21"/>
  <c r="H38" i="21" s="1"/>
  <c r="F18" i="21"/>
  <c r="E18" i="21"/>
  <c r="G36" i="21"/>
  <c r="K36" i="21"/>
  <c r="L36" i="21" s="1"/>
  <c r="D39" i="21"/>
  <c r="E39" i="21"/>
  <c r="AD19" i="2"/>
  <c r="AE19" i="2" s="1"/>
  <c r="AJ19" i="2" s="1"/>
  <c r="I39" i="21" l="1"/>
  <c r="G20" i="21"/>
  <c r="H20" i="21" s="1"/>
  <c r="C39" i="21"/>
  <c r="B38" i="21"/>
  <c r="M36" i="21"/>
  <c r="G37" i="21"/>
  <c r="M37" i="21" s="1"/>
  <c r="K37" i="21"/>
  <c r="L37" i="21" s="1"/>
  <c r="F19" i="21"/>
  <c r="E19" i="21"/>
  <c r="D40" i="21"/>
  <c r="E40" i="21"/>
  <c r="AD20" i="2"/>
  <c r="AE20" i="2" s="1"/>
  <c r="AJ20" i="2" s="1"/>
  <c r="I40" i="21" l="1"/>
  <c r="G38" i="21"/>
  <c r="M38" i="21" s="1"/>
  <c r="K38" i="21"/>
  <c r="L38" i="21" s="1"/>
  <c r="E20" i="21"/>
  <c r="F20" i="21"/>
  <c r="D41" i="21"/>
  <c r="E41" i="21"/>
  <c r="C40" i="21"/>
  <c r="H40" i="21" s="1"/>
  <c r="B39" i="21"/>
  <c r="F39" i="21" s="1"/>
  <c r="G21" i="21"/>
  <c r="H21" i="21" s="1"/>
  <c r="F38" i="21"/>
  <c r="H39" i="21"/>
  <c r="AD22" i="2"/>
  <c r="AE22" i="2" s="1"/>
  <c r="AJ22" i="2" s="1"/>
  <c r="AD21" i="2"/>
  <c r="I41" i="21" l="1"/>
  <c r="B40" i="21"/>
  <c r="C41" i="21"/>
  <c r="D42" i="21"/>
  <c r="E42" i="21"/>
  <c r="I42" i="21" s="1"/>
  <c r="G39" i="21"/>
  <c r="K39" i="21"/>
  <c r="L39" i="21" s="1"/>
  <c r="G23" i="21"/>
  <c r="H23" i="21" s="1"/>
  <c r="E21" i="21"/>
  <c r="F21" i="21"/>
  <c r="AE21" i="2"/>
  <c r="AJ21" i="2" s="1"/>
  <c r="C28" i="4" s="1" a="1"/>
  <c r="C28" i="4" l="1"/>
  <c r="E28" i="4"/>
  <c r="D28" i="4"/>
  <c r="K28" i="4"/>
  <c r="J28" i="4"/>
  <c r="I28" i="4"/>
  <c r="L28" i="4"/>
  <c r="H28" i="4"/>
  <c r="G28" i="4"/>
  <c r="F28" i="4"/>
  <c r="G22" i="21"/>
  <c r="H22" i="21" s="1"/>
  <c r="M39" i="21"/>
  <c r="G40" i="21"/>
  <c r="M40" i="21" s="1"/>
  <c r="K40" i="21"/>
  <c r="L40" i="21" s="1"/>
  <c r="F40" i="21"/>
  <c r="B41" i="21"/>
  <c r="C42" i="21"/>
  <c r="H41" i="21"/>
  <c r="E23" i="21"/>
  <c r="B43" i="21" s="1"/>
  <c r="F23" i="21"/>
  <c r="H42" i="21" l="1"/>
  <c r="G41" i="21"/>
  <c r="M41" i="21" s="1"/>
  <c r="K41" i="21"/>
  <c r="L41" i="21" s="1"/>
  <c r="G43" i="21"/>
  <c r="E22" i="21"/>
  <c r="F22" i="21"/>
  <c r="Q28" i="4" a="1"/>
  <c r="D43" i="21"/>
  <c r="E43" i="21"/>
  <c r="F41" i="21"/>
  <c r="I43" i="21" l="1"/>
  <c r="Z28" i="4"/>
  <c r="Z35" i="4" s="1"/>
  <c r="X28" i="4"/>
  <c r="X35" i="4" s="1"/>
  <c r="V28" i="4"/>
  <c r="V35" i="4" s="1"/>
  <c r="T28" i="4"/>
  <c r="T35" i="4" s="1"/>
  <c r="W28" i="4"/>
  <c r="W35" i="4" s="1"/>
  <c r="S28" i="4"/>
  <c r="S35" i="4" s="1"/>
  <c r="Y28" i="4"/>
  <c r="Y35" i="4" s="1"/>
  <c r="Q28" i="4"/>
  <c r="Q35" i="4" s="1"/>
  <c r="U28" i="4"/>
  <c r="U35" i="4" s="1"/>
  <c r="R28" i="4"/>
  <c r="R35" i="4" s="1"/>
  <c r="D44" i="21"/>
  <c r="K43" i="21"/>
  <c r="E44" i="21"/>
  <c r="B42" i="21"/>
  <c r="C43" i="21"/>
  <c r="H43" i="21" s="1"/>
  <c r="H44" i="21" s="1"/>
  <c r="D34" i="17" s="1"/>
  <c r="L43" i="21" l="1"/>
  <c r="AA14" i="4"/>
  <c r="I13" i="11" s="1"/>
  <c r="J13" i="11" s="1"/>
  <c r="K13" i="11" s="1"/>
  <c r="AA19" i="4"/>
  <c r="I18" i="11" s="1"/>
  <c r="J18" i="11" s="1"/>
  <c r="K18" i="11" s="1"/>
  <c r="AA23" i="4"/>
  <c r="I22" i="11" s="1"/>
  <c r="J22" i="11" s="1"/>
  <c r="K22" i="11" s="1"/>
  <c r="AA15" i="4"/>
  <c r="I14" i="11" s="1"/>
  <c r="J14" i="11" s="1"/>
  <c r="K14" i="11" s="1"/>
  <c r="AA16" i="4"/>
  <c r="I15" i="11" s="1"/>
  <c r="J15" i="11" s="1"/>
  <c r="K15" i="11" s="1"/>
  <c r="AA21" i="4"/>
  <c r="I20" i="11" s="1"/>
  <c r="J20" i="11" s="1"/>
  <c r="K20" i="11" s="1"/>
  <c r="I44" i="21"/>
  <c r="D28" i="17" s="1"/>
  <c r="AA20" i="4"/>
  <c r="I19" i="11" s="1"/>
  <c r="J19" i="11" s="1"/>
  <c r="K19" i="11" s="1"/>
  <c r="AA18" i="4"/>
  <c r="I17" i="11" s="1"/>
  <c r="J17" i="11" s="1"/>
  <c r="K17" i="11" s="1"/>
  <c r="M43" i="21"/>
  <c r="AA22" i="4"/>
  <c r="I21" i="11" s="1"/>
  <c r="J21" i="11" s="1"/>
  <c r="K21" i="11" s="1"/>
  <c r="AA13" i="4"/>
  <c r="I12" i="11" s="1"/>
  <c r="J12" i="11" s="1"/>
  <c r="K12" i="11" s="1"/>
  <c r="F43" i="21"/>
  <c r="C44" i="21"/>
  <c r="AA17" i="4"/>
  <c r="I16" i="11" s="1"/>
  <c r="J16" i="11" s="1"/>
  <c r="K16" i="11" s="1"/>
  <c r="G42" i="21"/>
  <c r="B44" i="21"/>
  <c r="K42" i="21"/>
  <c r="L42" i="21" s="1"/>
  <c r="F42" i="21"/>
  <c r="L44" i="21" l="1"/>
  <c r="K44" i="21"/>
  <c r="F44" i="21"/>
  <c r="M42" i="21"/>
  <c r="M44" i="21" s="1"/>
  <c r="G44" i="21"/>
  <c r="D33" i="17" s="1"/>
  <c r="D35" i="17" s="1"/>
  <c r="AA24" i="4"/>
  <c r="I23" i="11"/>
  <c r="E17" i="17" s="1"/>
  <c r="J23" i="11"/>
  <c r="K23" i="11"/>
  <c r="E18" i="17" l="1"/>
  <c r="E19" i="17" s="1"/>
  <c r="D43" i="17" s="1"/>
  <c r="E35" i="4"/>
  <c r="J35" i="4"/>
  <c r="C35" i="4"/>
  <c r="H35" i="4"/>
  <c r="L35" i="4"/>
  <c r="I35" i="4"/>
  <c r="K35" i="4"/>
  <c r="D35" i="4"/>
  <c r="G35" i="4"/>
  <c r="F35" i="4"/>
  <c r="M22" i="4" l="1"/>
  <c r="C21" i="11" s="1"/>
  <c r="D21" i="11" s="1"/>
  <c r="E21" i="11" s="1"/>
  <c r="M21" i="4"/>
  <c r="C20" i="11" s="1"/>
  <c r="D20" i="11" s="1"/>
  <c r="E20" i="11" s="1"/>
  <c r="M19" i="4"/>
  <c r="C18" i="11" s="1"/>
  <c r="D18" i="11" s="1"/>
  <c r="E18" i="11" s="1"/>
  <c r="M18" i="4"/>
  <c r="C17" i="11" s="1"/>
  <c r="D17" i="11" s="1"/>
  <c r="E17" i="11" s="1"/>
  <c r="M13" i="4"/>
  <c r="C12" i="11" s="1"/>
  <c r="D12" i="11" s="1"/>
  <c r="E12" i="11" s="1"/>
  <c r="M16" i="4"/>
  <c r="C15" i="11" s="1"/>
  <c r="D15" i="11" s="1"/>
  <c r="E15" i="11" s="1"/>
  <c r="M17" i="4"/>
  <c r="C16" i="11" s="1"/>
  <c r="D16" i="11" s="1"/>
  <c r="E16" i="11" s="1"/>
  <c r="M14" i="4"/>
  <c r="C13" i="11" s="1"/>
  <c r="D13" i="11" s="1"/>
  <c r="E13" i="11" s="1"/>
  <c r="M23" i="4"/>
  <c r="C22" i="11" s="1"/>
  <c r="D22" i="11" s="1"/>
  <c r="E22" i="11" s="1"/>
  <c r="M20" i="4"/>
  <c r="C19" i="11" s="1"/>
  <c r="D19" i="11" s="1"/>
  <c r="E19" i="11" s="1"/>
  <c r="M15" i="4"/>
  <c r="C14" i="11" s="1"/>
  <c r="D14" i="11" s="1"/>
  <c r="E14" i="11" s="1"/>
  <c r="C23" i="11" l="1"/>
  <c r="D17" i="17" s="1"/>
  <c r="M24" i="4"/>
  <c r="D23" i="11" l="1"/>
  <c r="D18" i="17" s="1"/>
  <c r="D29" i="17" s="1"/>
  <c r="D30" i="17" s="1"/>
  <c r="D19" i="17" l="1"/>
  <c r="D42" i="17" s="1"/>
  <c r="D44" i="17" s="1"/>
  <c r="D46" i="17" s="1"/>
  <c r="E23" i="11" l="1"/>
  <c r="I32" i="2" l="1"/>
  <c r="I30" i="2"/>
  <c r="I27" i="2"/>
  <c r="I29" i="2"/>
  <c r="I24" i="2"/>
  <c r="I235" i="2" s="1"/>
  <c r="I28" i="2"/>
  <c r="I33" i="2"/>
  <c r="I31" i="2"/>
  <c r="I26" i="2"/>
  <c r="I25" i="2"/>
  <c r="AF14" i="2" l="1"/>
  <c r="AF16" i="2"/>
  <c r="AF17" i="2"/>
  <c r="AF13" i="2"/>
  <c r="AF15" i="2"/>
  <c r="AF19" i="2"/>
  <c r="AF22" i="2"/>
  <c r="AF18" i="2"/>
  <c r="AF20" i="2"/>
  <c r="AF21" i="2"/>
  <c r="F195" i="2" l="1"/>
  <c r="F197" i="2"/>
  <c r="F193" i="2"/>
  <c r="F191" i="2"/>
  <c r="F201" i="2"/>
  <c r="F189" i="2"/>
  <c r="G189" i="2" s="1"/>
  <c r="F199" i="2"/>
  <c r="F203" i="2"/>
  <c r="G190" i="2" l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J189" i="2"/>
  <c r="G206" i="2" l="1"/>
  <c r="J205" i="2"/>
  <c r="J190" i="2"/>
  <c r="G207" i="2" l="1"/>
  <c r="J206" i="2"/>
  <c r="J191" i="2"/>
  <c r="J192" i="2" l="1"/>
  <c r="J193" i="2" l="1"/>
  <c r="J194" i="2" l="1"/>
  <c r="J195" i="2" l="1"/>
  <c r="J196" i="2" l="1"/>
  <c r="J197" i="2" l="1"/>
  <c r="J198" i="2" l="1"/>
  <c r="J199" i="2" l="1"/>
  <c r="J200" i="2" l="1"/>
  <c r="J201" i="2" l="1"/>
  <c r="J202" i="2" l="1"/>
  <c r="J203" i="2" l="1"/>
  <c r="J204" i="2" l="1"/>
  <c r="J207" i="2"/>
  <c r="J211" i="2" l="1"/>
  <c r="I238" i="2" l="1"/>
  <c r="AG16" i="2" s="1"/>
  <c r="AI16" i="2" s="1"/>
  <c r="Q17" i="2"/>
  <c r="S17" i="2" s="1"/>
  <c r="I241" i="2"/>
  <c r="AG19" i="2" s="1"/>
  <c r="AI19" i="2" s="1"/>
  <c r="I244" i="2"/>
  <c r="AG22" i="2" s="1"/>
  <c r="AI22" i="2" s="1"/>
  <c r="I240" i="2"/>
  <c r="AG18" i="2" s="1"/>
  <c r="AI18" i="2" s="1"/>
  <c r="Q14" i="2"/>
  <c r="S14" i="2" s="1"/>
  <c r="Q22" i="2"/>
  <c r="S22" i="2" s="1"/>
  <c r="Q21" i="2"/>
  <c r="S21" i="2" s="1"/>
  <c r="Q15" i="2"/>
  <c r="S15" i="2" s="1"/>
  <c r="Q16" i="2"/>
  <c r="S16" i="2" s="1"/>
  <c r="Q19" i="2"/>
  <c r="S19" i="2" s="1"/>
  <c r="Q20" i="2"/>
  <c r="S20" i="2" s="1"/>
  <c r="Q18" i="2"/>
  <c r="S18" i="2" s="1"/>
  <c r="Q13" i="2"/>
  <c r="S13" i="2" s="1"/>
  <c r="I237" i="2"/>
  <c r="AG15" i="2" s="1"/>
  <c r="AI15" i="2" s="1"/>
  <c r="I242" i="2"/>
  <c r="AG20" i="2" s="1"/>
  <c r="AI20" i="2" s="1"/>
  <c r="I236" i="2"/>
  <c r="AG14" i="2" s="1"/>
  <c r="AI14" i="2" s="1"/>
  <c r="I239" i="2"/>
  <c r="AG17" i="2" s="1"/>
  <c r="AI17" i="2" s="1"/>
  <c r="I243" i="2"/>
  <c r="AG21" i="2" s="1"/>
  <c r="AI21" i="2" s="1"/>
  <c r="AG13" i="2"/>
  <c r="AI13" i="2" s="1"/>
</calcChain>
</file>

<file path=xl/sharedStrings.xml><?xml version="1.0" encoding="utf-8"?>
<sst xmlns="http://schemas.openxmlformats.org/spreadsheetml/2006/main" count="563" uniqueCount="302">
  <si>
    <t>Appendix 1</t>
  </si>
  <si>
    <t>Company ABC</t>
  </si>
  <si>
    <t>Maturity</t>
  </si>
  <si>
    <t>Age</t>
  </si>
  <si>
    <t>Incremental</t>
  </si>
  <si>
    <t>Cumulative</t>
  </si>
  <si>
    <t>Valuation date:</t>
  </si>
  <si>
    <t>Selection of yield curve assumptions</t>
  </si>
  <si>
    <t>Selection of expected payment assumptions</t>
  </si>
  <si>
    <t>Accident</t>
  </si>
  <si>
    <t>Year</t>
  </si>
  <si>
    <t>Undiscounted</t>
  </si>
  <si>
    <t>Liabilities</t>
  </si>
  <si>
    <t>Notes</t>
  </si>
  <si>
    <t>(1)</t>
  </si>
  <si>
    <t>(2)</t>
  </si>
  <si>
    <t>(3)</t>
  </si>
  <si>
    <t>Liability</t>
  </si>
  <si>
    <t>Expected</t>
  </si>
  <si>
    <t>Projected Cash Flows as a % of Undiscounted Liabilities</t>
  </si>
  <si>
    <t>Selected yield curve:</t>
  </si>
  <si>
    <t>Discounted</t>
  </si>
  <si>
    <t>Appendix 2A</t>
  </si>
  <si>
    <t>Appendix 2B</t>
  </si>
  <si>
    <t>Appendix 2C</t>
  </si>
  <si>
    <t>Bottom up approach</t>
  </si>
  <si>
    <t>Top down approach</t>
  </si>
  <si>
    <t>Yield</t>
  </si>
  <si>
    <t>Selected</t>
  </si>
  <si>
    <t>Selected discount factor:</t>
  </si>
  <si>
    <t>Total</t>
  </si>
  <si>
    <t xml:space="preserve">Selected cash flow </t>
  </si>
  <si>
    <t>timing from valuation date:</t>
  </si>
  <si>
    <t>A</t>
  </si>
  <si>
    <t>AAA</t>
  </si>
  <si>
    <t>AA</t>
  </si>
  <si>
    <t>Date</t>
  </si>
  <si>
    <t>Risk-Free</t>
  </si>
  <si>
    <t>Illiquidity</t>
  </si>
  <si>
    <t>Premium</t>
  </si>
  <si>
    <t>Indicated</t>
  </si>
  <si>
    <t>Portfolio</t>
  </si>
  <si>
    <t>Credit Risk</t>
  </si>
  <si>
    <t>Adjustment</t>
  </si>
  <si>
    <t>Market Risk</t>
  </si>
  <si>
    <t>Bottom-up approach</t>
  </si>
  <si>
    <t>Top-down approach</t>
  </si>
  <si>
    <t>Summary</t>
  </si>
  <si>
    <t>Table 1</t>
  </si>
  <si>
    <t>Table 2</t>
  </si>
  <si>
    <t>Summary of Liability for Incurred Claims</t>
  </si>
  <si>
    <t>Appendix 7</t>
  </si>
  <si>
    <t>Table 3</t>
  </si>
  <si>
    <t>Company name:</t>
  </si>
  <si>
    <t>Credit Rating</t>
  </si>
  <si>
    <t>Federal</t>
  </si>
  <si>
    <t>BBB</t>
  </si>
  <si>
    <t>Default</t>
  </si>
  <si>
    <t>Average Time</t>
  </si>
  <si>
    <t>to Maturity</t>
  </si>
  <si>
    <t>Unadjusted Yield to Maturity</t>
  </si>
  <si>
    <t>Adjusted Yield to Maturity</t>
  </si>
  <si>
    <t>Top Down</t>
  </si>
  <si>
    <t>Adjusted</t>
  </si>
  <si>
    <t>Multiplier</t>
  </si>
  <si>
    <t>Constant</t>
  </si>
  <si>
    <t>Future</t>
  </si>
  <si>
    <t>Cash Flows</t>
  </si>
  <si>
    <t>Risk</t>
  </si>
  <si>
    <t>Fulfilment</t>
  </si>
  <si>
    <t>Payment</t>
  </si>
  <si>
    <t>from</t>
  </si>
  <si>
    <t>Valuation</t>
  </si>
  <si>
    <t>Insurance Finance Expense</t>
  </si>
  <si>
    <t>Assumptions</t>
  </si>
  <si>
    <t>Discount</t>
  </si>
  <si>
    <t>Time</t>
  </si>
  <si>
    <t>Statement of Financial Position</t>
  </si>
  <si>
    <t>Liability for Incurred Claims</t>
  </si>
  <si>
    <t>Future Cash Flows</t>
  </si>
  <si>
    <t>Effect of Discounting</t>
  </si>
  <si>
    <t>Risk Adjustment</t>
  </si>
  <si>
    <t>Insurance Service Expense</t>
  </si>
  <si>
    <t>Payments</t>
  </si>
  <si>
    <t>Reconciliation: Total Incurred Losses</t>
  </si>
  <si>
    <t>Current Year LIC</t>
  </si>
  <si>
    <t>Prior Year LIC</t>
  </si>
  <si>
    <t>vs. Income Statement</t>
  </si>
  <si>
    <t>Payment %</t>
  </si>
  <si>
    <t>Rate</t>
  </si>
  <si>
    <t>Weighted LT Avg</t>
  </si>
  <si>
    <t>Median</t>
  </si>
  <si>
    <t>Standard Dev.</t>
  </si>
  <si>
    <t>Cumulative Expected Probability of Default</t>
  </si>
  <si>
    <t>Example of Calculation</t>
  </si>
  <si>
    <t>Security</t>
  </si>
  <si>
    <t>B</t>
  </si>
  <si>
    <t>Coupon</t>
  </si>
  <si>
    <t>Par</t>
  </si>
  <si>
    <t>Value</t>
  </si>
  <si>
    <t>Market</t>
  </si>
  <si>
    <t>Effective</t>
  </si>
  <si>
    <t>Semi-Annual</t>
  </si>
  <si>
    <t>Duration</t>
  </si>
  <si>
    <t>Table 5</t>
  </si>
  <si>
    <t>Table 6</t>
  </si>
  <si>
    <t>Reference Portfolio</t>
  </si>
  <si>
    <t>% Selected</t>
  </si>
  <si>
    <t>Reference</t>
  </si>
  <si>
    <t>Asset Illiquidity Premium</t>
  </si>
  <si>
    <t>Indicated Yield</t>
  </si>
  <si>
    <t>Liability Illiquidity Premium (Low)</t>
  </si>
  <si>
    <t>Liability Illiquidity Premium (High)</t>
  </si>
  <si>
    <t>(4)</t>
  </si>
  <si>
    <t>(5)</t>
  </si>
  <si>
    <t>(6)</t>
  </si>
  <si>
    <t>(7)</t>
  </si>
  <si>
    <t>(8)</t>
  </si>
  <si>
    <t>(9)</t>
  </si>
  <si>
    <t>Appendix 3</t>
  </si>
  <si>
    <t>(4) = (2) + (3)</t>
  </si>
  <si>
    <t>Credit Adjustment (in basis points)</t>
  </si>
  <si>
    <t>(10)</t>
  </si>
  <si>
    <t>Ind. Asset</t>
  </si>
  <si>
    <t>Sel. Asset</t>
  </si>
  <si>
    <t>Financial Statement Entries</t>
  </si>
  <si>
    <t>Projected Cash Flows</t>
  </si>
  <si>
    <t>Projection of undiscounted and discounted cash flows</t>
  </si>
  <si>
    <t>Current yield curve</t>
  </si>
  <si>
    <t>Current Yield Curve</t>
  </si>
  <si>
    <t>Appendix 5</t>
  </si>
  <si>
    <t>Statement of Comprehensive Income</t>
  </si>
  <si>
    <t>(5a)</t>
  </si>
  <si>
    <t>(5b)</t>
  </si>
  <si>
    <t>(5c)</t>
  </si>
  <si>
    <t>(5d)</t>
  </si>
  <si>
    <t>(5e)</t>
  </si>
  <si>
    <t>(5f)</t>
  </si>
  <si>
    <t>(5g)</t>
  </si>
  <si>
    <t>(5h)</t>
  </si>
  <si>
    <t>(5i)</t>
  </si>
  <si>
    <t>(5j)</t>
  </si>
  <si>
    <t>(5k)</t>
  </si>
  <si>
    <t>For simplicity, there is no adjustment for downgrade</t>
  </si>
  <si>
    <t>Principal</t>
  </si>
  <si>
    <t>Probability</t>
  </si>
  <si>
    <t>of Default</t>
  </si>
  <si>
    <t>Table 7</t>
  </si>
  <si>
    <t>No Default</t>
  </si>
  <si>
    <t>Weighted</t>
  </si>
  <si>
    <t>Table 4A</t>
  </si>
  <si>
    <t>Table 4B</t>
  </si>
  <si>
    <t>Selection</t>
  </si>
  <si>
    <t>Percentile</t>
  </si>
  <si>
    <t>Multiple</t>
  </si>
  <si>
    <t>(2) Selected based on actuarial judgment</t>
  </si>
  <si>
    <t>(3) = (2) + [(2) prior]</t>
  </si>
  <si>
    <t>(4) = 100% - (3)</t>
  </si>
  <si>
    <t>Selected Cumulative Probability of Default (Expected and Unexpected Default)</t>
  </si>
  <si>
    <t>From Table 4A or 4B</t>
  </si>
  <si>
    <t>Selected Cumulative Probability of Default (Expected and Unexpected Default) - Based on a Multiple of Expected Default</t>
  </si>
  <si>
    <t>Table 4C</t>
  </si>
  <si>
    <t>= Successive difference in cumulative probabilities from Table 4C</t>
  </si>
  <si>
    <t>= Table 2 - Table 6</t>
  </si>
  <si>
    <t>(2) From Bank of Canada</t>
  </si>
  <si>
    <t>(3) = (1) - (2)</t>
  </si>
  <si>
    <t>(4) Selected based on actuarial judgment</t>
  </si>
  <si>
    <t>(5) Selected based on actuarial judgment</t>
  </si>
  <si>
    <t>(6) Selected based on actuarial judgment</t>
  </si>
  <si>
    <t>(7) = (4) x (5) + (6)</t>
  </si>
  <si>
    <t>(8) Selected based on actuarial judgment</t>
  </si>
  <si>
    <t>(9) Selected based on actuarial judgment</t>
  </si>
  <si>
    <t>(10) = (4) x (8) + (9)</t>
  </si>
  <si>
    <t>(1) From Bank of Canada</t>
  </si>
  <si>
    <t>(3) = (1) + (2)</t>
  </si>
  <si>
    <t>(6) = 0</t>
  </si>
  <si>
    <t>(7) = (4) - (5) - (6)</t>
  </si>
  <si>
    <t>Note: the actuary need not reconcile the discount rates derived using bottom-up and top-down approaches.</t>
  </si>
  <si>
    <t>(2a)</t>
  </si>
  <si>
    <t>(2b)</t>
  </si>
  <si>
    <t>(2c)</t>
  </si>
  <si>
    <t>(2d)</t>
  </si>
  <si>
    <t>(2e)</t>
  </si>
  <si>
    <t>(2f)</t>
  </si>
  <si>
    <t>(2g)</t>
  </si>
  <si>
    <t>(2h)</t>
  </si>
  <si>
    <t>(2i)</t>
  </si>
  <si>
    <t>(2j)</t>
  </si>
  <si>
    <t>(4) Selected yield curve:</t>
  </si>
  <si>
    <t xml:space="preserve">(5) Selected cash flow </t>
  </si>
  <si>
    <t>(6) Selected discount factor:</t>
  </si>
  <si>
    <t>(1) From actuarial valuation</t>
  </si>
  <si>
    <t>(2) = (1) x Payment pattern from Appendix 1</t>
  </si>
  <si>
    <t>(5) Selected based on actuarial judgment; assumed to be mid-year payments</t>
  </si>
  <si>
    <t>(6) = [1 + (4)] ^ -(5)</t>
  </si>
  <si>
    <t>Unpaid %</t>
  </si>
  <si>
    <t>Selected Cumulative Probability of Default (Expected and Unexpected Default) - Percentile of Default</t>
  </si>
  <si>
    <t>Selected Annual Probability of Default (Expected and Unexpected Default)</t>
  </si>
  <si>
    <t>Federal bonds are assumed to be risk-free</t>
  </si>
  <si>
    <t>For simplicity, the calculations were performed as if all bonds in each maturity/credit rating category were a single security</t>
  </si>
  <si>
    <t>Example</t>
  </si>
  <si>
    <t>- The accident year is 24 months old at December 31, 2022.</t>
  </si>
  <si>
    <t>- The payment in year 2025 will have a maturity between 48 and 60 months.</t>
  </si>
  <si>
    <t>- The payment between 48 and 60 months as a percentage of ultimate is 7.5% [Column (2), 60 months].</t>
  </si>
  <si>
    <t>- The payment between 48 and 60 months as a percentage of the unpaid claims at December 31, 2022 is 7.5% / 55% 
[Column (2) at 60 months / Column (4) at 24 months]</t>
  </si>
  <si>
    <t>Based on Moody's Annual Default Study: Corporate Default and Recovery Rates, 1920-2017 and S&amp;P Annual Global Corporate Default Study and Rating Transitions</t>
  </si>
  <si>
    <t>Selection based on actuarial judgment</t>
  </si>
  <si>
    <t>90th percentile based on Moody's Annual Default Study: Corporate Default and Recovery Rates, 1920-2017</t>
  </si>
  <si>
    <t>= 2 x Expected default from Table 3</t>
  </si>
  <si>
    <t>(2) Based on investment listing (see Table 2 example): = Par value</t>
  </si>
  <si>
    <t>(1) Based on investment listing (see Table 2 example): = 50% x Annual coupon rate x Par value</t>
  </si>
  <si>
    <t>(3) From Table 5</t>
  </si>
  <si>
    <t>(4) = (3) + [(4) prior] = Table 4C</t>
  </si>
  <si>
    <t>(5) Cash flow at time zero = market value (see Table 2 example); cash flow in subsequent periods = (1) + (2)</t>
  </si>
  <si>
    <t>(8) Recovery Rate:</t>
  </si>
  <si>
    <t>(9) Internal Rate of Return:</t>
  </si>
  <si>
    <t>(6) = [(1) + Principal] x (8)</t>
  </si>
  <si>
    <t>(7) = [(5) x [1 - (4)]] + [(6) x (3)]</t>
  </si>
  <si>
    <t>(8) Selected based on actuarial judgment and Moody's Annual Default Study: Corporate Default and Recovery Rates, 1920-2017</t>
  </si>
  <si>
    <t>(9) = Internal rate of return of cash flows</t>
  </si>
  <si>
    <t>(4) = (1) + (2) + (3)</t>
  </si>
  <si>
    <t>Modified</t>
  </si>
  <si>
    <t>Current CFs</t>
  </si>
  <si>
    <t>Prior CFs</t>
  </si>
  <si>
    <t>Disc. @</t>
  </si>
  <si>
    <t>Prior Yield</t>
  </si>
  <si>
    <t>To YE 2021</t>
  </si>
  <si>
    <t>To YE 2022</t>
  </si>
  <si>
    <t>Current Yield</t>
  </si>
  <si>
    <t>Change in</t>
  </si>
  <si>
    <t>Calculation of Income Statement Amounts</t>
  </si>
  <si>
    <t>Change in Risk Adjustment</t>
  </si>
  <si>
    <t>Appendix 5 - Prior Year</t>
  </si>
  <si>
    <t>Appendix 6</t>
  </si>
  <si>
    <t>Prior</t>
  </si>
  <si>
    <t>Current</t>
  </si>
  <si>
    <t>Discount Curve Assumptions</t>
  </si>
  <si>
    <t>Curve</t>
  </si>
  <si>
    <t>Factors</t>
  </si>
  <si>
    <t>(2) From prior year valuation</t>
  </si>
  <si>
    <t>Change in Cash Flow Assumptions</t>
  </si>
  <si>
    <t>Insurance</t>
  </si>
  <si>
    <t>Service</t>
  </si>
  <si>
    <t>Expense</t>
  </si>
  <si>
    <t>Finance</t>
  </si>
  <si>
    <t>Totals</t>
  </si>
  <si>
    <t>Appendix 3 - Prior Year</t>
  </si>
  <si>
    <t>Undisc. Cash Flow Assumptions</t>
  </si>
  <si>
    <t>Update of Valuation Assumptions</t>
  </si>
  <si>
    <t>(3) Appendix 3; paid amount from the entity</t>
  </si>
  <si>
    <t>(4) From prior year valuation</t>
  </si>
  <si>
    <t>(5) = [1 + (4)]^-(1)</t>
  </si>
  <si>
    <t>Cash Flow</t>
  </si>
  <si>
    <t>(6) = [Line (3), current year] - [Line 3, prior year]</t>
  </si>
  <si>
    <t>(7) = (5) + (6)</t>
  </si>
  <si>
    <t>Unwinding</t>
  </si>
  <si>
    <t>of Discount</t>
  </si>
  <si>
    <t>(Present Value</t>
  </si>
  <si>
    <t>(Forward Rate</t>
  </si>
  <si>
    <t>Calculation)</t>
  </si>
  <si>
    <t>Discounting</t>
  </si>
  <si>
    <t>Forward</t>
  </si>
  <si>
    <t>Rates</t>
  </si>
  <si>
    <t>(6) Forward rates implied by (4)</t>
  </si>
  <si>
    <t>(8) = [1 + (6)]^-(1)</t>
  </si>
  <si>
    <t>(10) = (2) x (5)</t>
  </si>
  <si>
    <t>(11) = (2) x [(5) shifted by one year]</t>
  </si>
  <si>
    <t>(12) = (2) x [(8) shifted by one year]</t>
  </si>
  <si>
    <t>(14) = (11) - (10)</t>
  </si>
  <si>
    <t>(18) From the entity</t>
  </si>
  <si>
    <t>(13) = (3) x (8)</t>
  </si>
  <si>
    <t>(16) = (12) - (11)</t>
  </si>
  <si>
    <t>(17) = (13) - (12)</t>
  </si>
  <si>
    <t>(15) = (10) x (6)</t>
  </si>
  <si>
    <t>(5) Conditional payment pattern as a % of unpaid: see example</t>
  </si>
  <si>
    <t>(6) Sum of (5)</t>
  </si>
  <si>
    <t>(2) Appendix 2B, Col. (10)</t>
  </si>
  <si>
    <t>(5) Appendix 2A, Table 7</t>
  </si>
  <si>
    <t>(4) Appendix 2A, Table 2</t>
  </si>
  <si>
    <t>(1) Appendix 2A, Table 6</t>
  </si>
  <si>
    <t>(1) Appendix 3, Col. (1)</t>
  </si>
  <si>
    <t>(2) Appendix 3, Col. (3)</t>
  </si>
  <si>
    <t>(3) Risk adjustment allocated = 5% x (2)</t>
  </si>
  <si>
    <t>(7) Appendix 3, Line (4)</t>
  </si>
  <si>
    <t>(1) Appendix 4, Column (1)</t>
  </si>
  <si>
    <t>(2) Appendix 4, Column (2) - Appendix 5, Column (1)</t>
  </si>
  <si>
    <t>(3) Appendix 4, Column (3)</t>
  </si>
  <si>
    <t>(5) Appendix 5, Column (17)</t>
  </si>
  <si>
    <t>(4) Appendix 2C, Col. (8)</t>
  </si>
  <si>
    <t>(3) Sumproduct of (2) and (6)</t>
  </si>
  <si>
    <t>Unwinding of Discount</t>
  </si>
  <si>
    <t>Effect of Changes in Discounting Assumptions</t>
  </si>
  <si>
    <t>(10) = (8) + (9)</t>
  </si>
  <si>
    <t>(8) Appendix 5, Column (15)</t>
  </si>
  <si>
    <t>(9) Appendix 5, Column (16)</t>
  </si>
  <si>
    <t>n/a</t>
  </si>
  <si>
    <t>(19) From the entity</t>
  </si>
  <si>
    <t>(20) = (17) + (18) + (19)</t>
  </si>
  <si>
    <t>(21) = (15) + (16)</t>
  </si>
  <si>
    <t>Prov. &amp; CHT</t>
  </si>
  <si>
    <t>Selected investment grade corporate bonds weighted by market value</t>
  </si>
  <si>
    <t>Bank of American Merrill Lynch (BAML) Canada Bond Market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</si>
</sst>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0.0%;\-0.0%;\-\-"/>
    <numFmt numFmtId="166" formatCode="0.0000"/>
    <numFmt numFmtId="167" formatCode="0.0"/>
    <numFmt numFmtId="168" formatCode="#,###,"/>
    <numFmt numFmtId="169" formatCode="0.000%"/>
    <numFmt numFmtId="170" formatCode="0\ &quot;bps&quot;"/>
    <numFmt numFmtId="171" formatCode="#,##0;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Border="1"/>
    <xf numFmtId="3" fontId="0" fillId="0" borderId="0" xfId="0" applyNumberFormat="1"/>
    <xf numFmtId="3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horizontal="centerContinuous"/>
    </xf>
    <xf numFmtId="3" fontId="0" fillId="0" borderId="4" xfId="0" applyNumberFormat="1" applyBorder="1"/>
    <xf numFmtId="3" fontId="0" fillId="0" borderId="5" xfId="0" applyNumberFormat="1" applyBorder="1"/>
    <xf numFmtId="0" fontId="0" fillId="0" borderId="0" xfId="0" applyBorder="1" applyAlignment="1">
      <alignment horizontal="right"/>
    </xf>
    <xf numFmtId="10" fontId="0" fillId="0" borderId="0" xfId="1" applyNumberFormat="1" applyFont="1"/>
    <xf numFmtId="166" fontId="0" fillId="0" borderId="0" xfId="0" applyNumberFormat="1"/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0" xfId="0" applyFont="1"/>
    <xf numFmtId="10" fontId="3" fillId="0" borderId="0" xfId="1" applyNumberFormat="1" applyFont="1"/>
    <xf numFmtId="3" fontId="0" fillId="0" borderId="7" xfId="0" applyNumberFormat="1" applyBorder="1"/>
    <xf numFmtId="3" fontId="0" fillId="0" borderId="6" xfId="0" applyNumberFormat="1" applyBorder="1"/>
    <xf numFmtId="0" fontId="0" fillId="0" borderId="5" xfId="0" applyBorder="1" applyAlignment="1">
      <alignment horizontal="centerContinuous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10" fontId="3" fillId="0" borderId="0" xfId="1" applyNumberFormat="1" applyFont="1" applyFill="1"/>
    <xf numFmtId="10" fontId="4" fillId="0" borderId="0" xfId="1" applyNumberFormat="1" applyFont="1" applyFill="1"/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Continuous"/>
    </xf>
    <xf numFmtId="3" fontId="0" fillId="0" borderId="0" xfId="0" applyNumberFormat="1" applyBorder="1"/>
    <xf numFmtId="10" fontId="0" fillId="0" borderId="0" xfId="0" applyNumberFormat="1" applyFill="1"/>
    <xf numFmtId="10" fontId="0" fillId="0" borderId="0" xfId="1" applyNumberFormat="1" applyFont="1" applyFill="1"/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3" fontId="3" fillId="0" borderId="0" xfId="0" applyNumberFormat="1" applyFont="1"/>
    <xf numFmtId="0" fontId="4" fillId="0" borderId="0" xfId="0" applyFont="1" applyFill="1"/>
    <xf numFmtId="0" fontId="0" fillId="0" borderId="4" xfId="0" applyFill="1" applyBorder="1" applyAlignment="1">
      <alignment horizontal="right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centerContinuous"/>
    </xf>
    <xf numFmtId="0" fontId="0" fillId="0" borderId="2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10" fontId="0" fillId="0" borderId="0" xfId="0" applyNumberFormat="1" applyFill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7" fontId="0" fillId="0" borderId="0" xfId="0" applyNumberFormat="1" applyFill="1"/>
    <xf numFmtId="0" fontId="2" fillId="0" borderId="0" xfId="0" applyFont="1" applyFill="1"/>
    <xf numFmtId="37" fontId="0" fillId="0" borderId="2" xfId="0" applyNumberFormat="1" applyFill="1" applyBorder="1"/>
    <xf numFmtId="37" fontId="2" fillId="0" borderId="0" xfId="0" applyNumberFormat="1" applyFont="1" applyFill="1"/>
    <xf numFmtId="37" fontId="0" fillId="0" borderId="0" xfId="0" applyNumberFormat="1" applyFill="1" applyBorder="1"/>
    <xf numFmtId="37" fontId="0" fillId="0" borderId="3" xfId="0" applyNumberFormat="1" applyFill="1" applyBorder="1"/>
    <xf numFmtId="37" fontId="0" fillId="0" borderId="4" xfId="0" applyNumberFormat="1" applyFill="1" applyBorder="1"/>
    <xf numFmtId="0" fontId="0" fillId="0" borderId="5" xfId="0" applyBorder="1"/>
    <xf numFmtId="0" fontId="0" fillId="2" borderId="8" xfId="0" applyFont="1" applyFill="1" applyBorder="1"/>
    <xf numFmtId="0" fontId="0" fillId="2" borderId="2" xfId="0" applyFont="1" applyFill="1" applyBorder="1"/>
    <xf numFmtId="37" fontId="0" fillId="2" borderId="2" xfId="0" applyNumberFormat="1" applyFont="1" applyFill="1" applyBorder="1"/>
    <xf numFmtId="37" fontId="0" fillId="2" borderId="3" xfId="0" applyNumberFormat="1" applyFont="1" applyFill="1" applyBorder="1"/>
    <xf numFmtId="0" fontId="0" fillId="2" borderId="7" xfId="0" applyFont="1" applyFill="1" applyBorder="1"/>
    <xf numFmtId="0" fontId="0" fillId="2" borderId="0" xfId="0" applyFont="1" applyFill="1" applyBorder="1"/>
    <xf numFmtId="37" fontId="0" fillId="2" borderId="0" xfId="0" applyNumberFormat="1" applyFont="1" applyFill="1" applyBorder="1"/>
    <xf numFmtId="37" fontId="0" fillId="2" borderId="4" xfId="0" applyNumberFormat="1" applyFont="1" applyFill="1" applyBorder="1"/>
    <xf numFmtId="0" fontId="0" fillId="2" borderId="6" xfId="0" applyFont="1" applyFill="1" applyBorder="1"/>
    <xf numFmtId="0" fontId="0" fillId="2" borderId="1" xfId="0" applyFont="1" applyFill="1" applyBorder="1"/>
    <xf numFmtId="0" fontId="0" fillId="2" borderId="5" xfId="0" applyFont="1" applyFill="1" applyBorder="1"/>
    <xf numFmtId="0" fontId="2" fillId="2" borderId="7" xfId="0" applyFont="1" applyFill="1" applyBorder="1"/>
    <xf numFmtId="0" fontId="0" fillId="0" borderId="4" xfId="0" applyBorder="1"/>
    <xf numFmtId="37" fontId="2" fillId="0" borderId="4" xfId="0" applyNumberFormat="1" applyFont="1" applyFill="1" applyBorder="1"/>
    <xf numFmtId="0" fontId="0" fillId="0" borderId="0" xfId="0" quotePrefix="1" applyFill="1" applyAlignment="1">
      <alignment horizontal="left"/>
    </xf>
    <xf numFmtId="0" fontId="6" fillId="0" borderId="0" xfId="0" applyFont="1" applyFill="1"/>
    <xf numFmtId="168" fontId="0" fillId="0" borderId="0" xfId="0" applyNumberFormat="1" applyFill="1"/>
    <xf numFmtId="0" fontId="0" fillId="0" borderId="1" xfId="0" applyFill="1" applyBorder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Border="1"/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10" fontId="3" fillId="0" borderId="0" xfId="1" applyNumberFormat="1" applyFont="1" applyFill="1" applyBorder="1"/>
    <xf numFmtId="10" fontId="3" fillId="0" borderId="9" xfId="1" applyNumberFormat="1" applyFont="1" applyFill="1" applyBorder="1"/>
    <xf numFmtId="2" fontId="0" fillId="0" borderId="2" xfId="0" applyNumberFormat="1" applyFill="1" applyBorder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10" fontId="3" fillId="0" borderId="0" xfId="0" applyNumberFormat="1" applyFont="1" applyFill="1"/>
    <xf numFmtId="168" fontId="3" fillId="0" borderId="0" xfId="0" applyNumberFormat="1" applyFont="1" applyFill="1"/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/>
    <xf numFmtId="168" fontId="0" fillId="0" borderId="2" xfId="0" applyNumberFormat="1" applyFill="1" applyBorder="1"/>
    <xf numFmtId="10" fontId="0" fillId="0" borderId="2" xfId="1" applyNumberFormat="1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1" xfId="0" applyFill="1" applyBorder="1" applyAlignment="1">
      <alignment horizontal="centerContinuous"/>
    </xf>
    <xf numFmtId="10" fontId="0" fillId="0" borderId="0" xfId="1" applyNumberFormat="1" applyFont="1" applyFill="1" applyBorder="1"/>
    <xf numFmtId="170" fontId="4" fillId="0" borderId="0" xfId="1" applyNumberFormat="1" applyFont="1" applyFill="1"/>
    <xf numFmtId="10" fontId="3" fillId="0" borderId="1" xfId="1" applyNumberFormat="1" applyFont="1" applyFill="1" applyBorder="1"/>
    <xf numFmtId="10" fontId="3" fillId="0" borderId="4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quotePrefix="1" applyFill="1" applyAlignment="1">
      <alignment horizontal="center"/>
    </xf>
    <xf numFmtId="0" fontId="0" fillId="0" borderId="0" xfId="0" quotePrefix="1" applyFill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4" fontId="0" fillId="0" borderId="3" xfId="1" applyNumberFormat="1" applyFont="1" applyFill="1" applyBorder="1"/>
    <xf numFmtId="165" fontId="0" fillId="0" borderId="0" xfId="1" applyNumberFormat="1" applyFont="1" applyFill="1" applyAlignment="1">
      <alignment horizontal="right"/>
    </xf>
    <xf numFmtId="165" fontId="0" fillId="0" borderId="7" xfId="0" applyNumberFormat="1" applyFill="1" applyBorder="1"/>
    <xf numFmtId="164" fontId="0" fillId="0" borderId="4" xfId="1" applyNumberFormat="1" applyFont="1" applyFill="1" applyBorder="1"/>
    <xf numFmtId="165" fontId="0" fillId="0" borderId="9" xfId="1" applyNumberFormat="1" applyFont="1" applyFill="1" applyBorder="1" applyAlignment="1">
      <alignment horizontal="right"/>
    </xf>
    <xf numFmtId="0" fontId="0" fillId="0" borderId="0" xfId="0" quotePrefix="1" applyFill="1"/>
    <xf numFmtId="0" fontId="5" fillId="0" borderId="0" xfId="0" applyFont="1" applyFill="1"/>
    <xf numFmtId="0" fontId="0" fillId="0" borderId="0" xfId="0" applyFont="1" applyFill="1" applyAlignment="1">
      <alignment horizontal="left"/>
    </xf>
    <xf numFmtId="10" fontId="0" fillId="0" borderId="4" xfId="1" applyNumberFormat="1" applyFont="1" applyFill="1" applyBorder="1"/>
    <xf numFmtId="0" fontId="0" fillId="0" borderId="1" xfId="0" quotePrefix="1" applyFill="1" applyBorder="1" applyAlignment="1">
      <alignment horizontal="centerContinuous"/>
    </xf>
    <xf numFmtId="0" fontId="0" fillId="0" borderId="5" xfId="0" quotePrefix="1" applyFill="1" applyBorder="1" applyAlignment="1">
      <alignment horizontal="centerContinuous"/>
    </xf>
    <xf numFmtId="37" fontId="0" fillId="0" borderId="5" xfId="0" applyNumberFormat="1" applyFill="1" applyBorder="1"/>
    <xf numFmtId="0" fontId="0" fillId="0" borderId="0" xfId="0" quotePrefix="1" applyAlignment="1">
      <alignment horizontal="left"/>
    </xf>
    <xf numFmtId="0" fontId="0" fillId="0" borderId="0" xfId="0" quotePrefix="1" applyFont="1" applyFill="1"/>
    <xf numFmtId="171" fontId="0" fillId="0" borderId="0" xfId="0" quotePrefix="1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Fill="1" applyBorder="1"/>
    <xf numFmtId="10" fontId="0" fillId="0" borderId="4" xfId="0" applyNumberFormat="1" applyFill="1" applyBorder="1"/>
    <xf numFmtId="10" fontId="0" fillId="0" borderId="5" xfId="0" applyNumberFormat="1" applyFill="1" applyBorder="1"/>
    <xf numFmtId="0" fontId="0" fillId="0" borderId="2" xfId="0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1" fontId="0" fillId="0" borderId="0" xfId="0" quotePrefix="1" applyNumberFormat="1" applyAlignment="1">
      <alignment horizontal="centerContinuous"/>
    </xf>
    <xf numFmtId="3" fontId="0" fillId="0" borderId="0" xfId="0" applyNumberFormat="1" applyFill="1" applyBorder="1"/>
    <xf numFmtId="0" fontId="0" fillId="0" borderId="7" xfId="0" applyFill="1" applyBorder="1" applyAlignment="1">
      <alignment horizontal="right"/>
    </xf>
    <xf numFmtId="3" fontId="0" fillId="0" borderId="5" xfId="0" applyNumberFormat="1" applyFill="1" applyBorder="1"/>
    <xf numFmtId="0" fontId="0" fillId="0" borderId="6" xfId="0" applyBorder="1" applyAlignment="1">
      <alignment horizontal="right"/>
    </xf>
    <xf numFmtId="3" fontId="0" fillId="0" borderId="1" xfId="0" applyNumberFormat="1" applyFill="1" applyBorder="1"/>
    <xf numFmtId="0" fontId="0" fillId="0" borderId="8" xfId="0" applyBorder="1" applyAlignment="1">
      <alignment horizontal="right"/>
    </xf>
    <xf numFmtId="3" fontId="0" fillId="0" borderId="1" xfId="0" applyNumberFormat="1" applyBorder="1"/>
    <xf numFmtId="10" fontId="0" fillId="0" borderId="1" xfId="0" applyNumberFormat="1" applyFill="1" applyBorder="1"/>
    <xf numFmtId="0" fontId="0" fillId="0" borderId="7" xfId="0" applyBorder="1" applyAlignment="1">
      <alignment horizontal="right"/>
    </xf>
    <xf numFmtId="3" fontId="3" fillId="0" borderId="3" xfId="0" applyNumberFormat="1" applyFont="1" applyFill="1" applyBorder="1"/>
    <xf numFmtId="0" fontId="0" fillId="0" borderId="0" xfId="0" applyFill="1" applyBorder="1" applyAlignment="1">
      <alignment horizontal="centerContinuous"/>
    </xf>
    <xf numFmtId="0" fontId="0" fillId="0" borderId="4" xfId="0" applyFill="1" applyBorder="1" applyAlignment="1">
      <alignment horizontal="centerContinuous"/>
    </xf>
    <xf numFmtId="0" fontId="0" fillId="0" borderId="1" xfId="0" applyFill="1" applyBorder="1"/>
    <xf numFmtId="164" fontId="3" fillId="0" borderId="0" xfId="1" applyNumberFormat="1" applyFont="1" applyFill="1" applyBorder="1"/>
    <xf numFmtId="164" fontId="4" fillId="0" borderId="0" xfId="1" applyNumberFormat="1" applyFont="1" applyFill="1" applyBorder="1"/>
    <xf numFmtId="9" fontId="0" fillId="0" borderId="0" xfId="1" applyNumberFormat="1" applyFont="1" applyFill="1"/>
    <xf numFmtId="14" fontId="0" fillId="0" borderId="3" xfId="0" applyNumberFormat="1" applyFill="1" applyBorder="1" applyAlignment="1">
      <alignment horizontal="right"/>
    </xf>
    <xf numFmtId="14" fontId="0" fillId="0" borderId="4" xfId="0" applyNumberFormat="1" applyFill="1" applyBorder="1" applyAlignment="1">
      <alignment horizontal="right"/>
    </xf>
    <xf numFmtId="3" fontId="0" fillId="0" borderId="2" xfId="0" applyNumberFormat="1" applyFill="1" applyBorder="1"/>
    <xf numFmtId="169" fontId="0" fillId="0" borderId="0" xfId="0" applyNumberFormat="1" applyFill="1"/>
    <xf numFmtId="0" fontId="2" fillId="0" borderId="0" xfId="0" applyFont="1" applyFill="1" applyAlignment="1">
      <alignment horizontal="left"/>
    </xf>
    <xf numFmtId="10" fontId="0" fillId="0" borderId="2" xfId="0" applyNumberFormat="1" applyFill="1" applyBorder="1"/>
    <xf numFmtId="0" fontId="6" fillId="0" borderId="10" xfId="0" applyFont="1" applyFill="1" applyBorder="1"/>
    <xf numFmtId="0" fontId="4" fillId="0" borderId="11" xfId="0" applyFont="1" applyFill="1" applyBorder="1"/>
    <xf numFmtId="3" fontId="0" fillId="0" borderId="0" xfId="0" quotePrefix="1" applyNumberFormat="1" applyFill="1" applyBorder="1" applyAlignment="1">
      <alignment horizontal="right"/>
    </xf>
    <xf numFmtId="167" fontId="0" fillId="0" borderId="0" xfId="0" applyNumberFormat="1" applyFill="1"/>
    <xf numFmtId="0" fontId="0" fillId="0" borderId="4" xfId="0" applyFill="1" applyBorder="1"/>
    <xf numFmtId="167" fontId="0" fillId="0" borderId="2" xfId="0" applyNumberFormat="1" applyFill="1" applyBorder="1"/>
    <xf numFmtId="10" fontId="3" fillId="0" borderId="0" xfId="0" applyNumberFormat="1" applyFont="1" applyFill="1" applyBorder="1"/>
    <xf numFmtId="3" fontId="0" fillId="0" borderId="0" xfId="0" applyNumberFormat="1" applyFill="1"/>
    <xf numFmtId="0" fontId="0" fillId="0" borderId="0" xfId="0" quotePrefix="1" applyFill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10" fontId="3" fillId="0" borderId="12" xfId="1" applyNumberFormat="1" applyFont="1" applyFill="1" applyBorder="1"/>
    <xf numFmtId="0" fontId="0" fillId="0" borderId="0" xfId="0" applyFont="1" applyFill="1"/>
    <xf numFmtId="168" fontId="4" fillId="0" borderId="0" xfId="0" applyNumberFormat="1" applyFont="1" applyFill="1" applyBorder="1"/>
    <xf numFmtId="0" fontId="0" fillId="0" borderId="0" xfId="0" quotePrefix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25</xdr:row>
      <xdr:rowOff>9525</xdr:rowOff>
    </xdr:from>
    <xdr:to>
      <xdr:col>6</xdr:col>
      <xdr:colOff>9525</xdr:colOff>
      <xdr:row>29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A764D90-B751-453C-AC3E-80E5A9A639EE}"/>
            </a:ext>
          </a:extLst>
        </xdr:cNvPr>
        <xdr:cNvCxnSpPr/>
      </xdr:nvCxnSpPr>
      <xdr:spPr>
        <a:xfrm flipH="1">
          <a:off x="3943350" y="4772025"/>
          <a:ext cx="609600" cy="7524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</xdr:colOff>
      <xdr:row>33</xdr:row>
      <xdr:rowOff>0</xdr:rowOff>
    </xdr:from>
    <xdr:to>
      <xdr:col>8</xdr:col>
      <xdr:colOff>235323</xdr:colOff>
      <xdr:row>42</xdr:row>
      <xdr:rowOff>78441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FE4F736-6302-4F5A-AB93-05CC6E9AA20F}"/>
            </a:ext>
          </a:extLst>
        </xdr:cNvPr>
        <xdr:cNvCxnSpPr/>
      </xdr:nvCxnSpPr>
      <xdr:spPr>
        <a:xfrm>
          <a:off x="3990153" y="5916706"/>
          <a:ext cx="2643729" cy="169208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</xdr:colOff>
      <xdr:row>180</xdr:row>
      <xdr:rowOff>0</xdr:rowOff>
    </xdr:from>
    <xdr:to>
      <xdr:col>9</xdr:col>
      <xdr:colOff>246530</xdr:colOff>
      <xdr:row>210</xdr:row>
      <xdr:rowOff>44823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B315862-9AED-4DC9-9747-E1F8A78C444D}"/>
            </a:ext>
          </a:extLst>
        </xdr:cNvPr>
        <xdr:cNvCxnSpPr/>
      </xdr:nvCxnSpPr>
      <xdr:spPr>
        <a:xfrm>
          <a:off x="3993328" y="32272941"/>
          <a:ext cx="3480996" cy="54236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ucational%20Note%20-%20Appendices%20-%202019-06-26%20-%20including%20o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Insurance Finan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D43B-7A9C-424B-9555-9811241B82AF}">
  <dimension ref="A2:B4"/>
  <sheetViews>
    <sheetView workbookViewId="0">
      <selection activeCell="K39" sqref="K39"/>
    </sheetView>
  </sheetViews>
  <sheetFormatPr defaultRowHeight="14.4" x14ac:dyDescent="0.3"/>
  <cols>
    <col min="1" max="1" width="18.21875" customWidth="1"/>
    <col min="2" max="2" width="10.77734375" bestFit="1" customWidth="1"/>
  </cols>
  <sheetData>
    <row r="2" spans="1:2" x14ac:dyDescent="0.3">
      <c r="A2" t="s">
        <v>53</v>
      </c>
      <c r="B2" t="s">
        <v>1</v>
      </c>
    </row>
    <row r="4" spans="1:2" x14ac:dyDescent="0.3">
      <c r="A4" t="s">
        <v>6</v>
      </c>
      <c r="B4" s="4">
        <f>DATE(2022,12,31)</f>
        <v>44926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0AB1-B8CF-4EF9-88DA-3AD6929C8CF4}">
  <dimension ref="A1:AH67"/>
  <sheetViews>
    <sheetView view="pageBreakPreview" zoomScale="85" zoomScaleNormal="85" zoomScaleSheetLayoutView="85" workbookViewId="0">
      <selection activeCell="F43" sqref="F43"/>
    </sheetView>
  </sheetViews>
  <sheetFormatPr defaultColWidth="11.77734375" defaultRowHeight="14.4" x14ac:dyDescent="0.3"/>
  <cols>
    <col min="1" max="1" width="10" style="41" customWidth="1"/>
    <col min="2" max="4" width="12.77734375" style="41" customWidth="1"/>
    <col min="5" max="15" width="10" style="41" customWidth="1"/>
    <col min="16" max="16" width="10" style="41" customWidth="1" collapsed="1"/>
    <col min="17" max="16384" width="11.77734375" style="41"/>
  </cols>
  <sheetData>
    <row r="1" spans="1:34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34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34" x14ac:dyDescent="0.3">
      <c r="A3" s="104" t="str">
        <f>CompanyName</f>
        <v>Company ABC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34" x14ac:dyDescent="0.3">
      <c r="A4" s="105" t="s">
        <v>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34" x14ac:dyDescent="0.3">
      <c r="A5" s="105" t="str">
        <f>"As at "&amp;TEXT(ValDate,"mmmm dd, yyyy")</f>
        <v>As at December 31, 2022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9" spans="1:34" s="88" customFormat="1" x14ac:dyDescent="0.3">
      <c r="A9" s="106" t="s">
        <v>14</v>
      </c>
      <c r="B9" s="107" t="s">
        <v>15</v>
      </c>
      <c r="C9" s="107" t="s">
        <v>16</v>
      </c>
      <c r="D9" s="107" t="s">
        <v>113</v>
      </c>
      <c r="E9" s="107" t="s">
        <v>132</v>
      </c>
      <c r="F9" s="107" t="s">
        <v>133</v>
      </c>
      <c r="G9" s="107" t="s">
        <v>134</v>
      </c>
      <c r="H9" s="107" t="s">
        <v>135</v>
      </c>
      <c r="I9" s="107" t="s">
        <v>136</v>
      </c>
      <c r="J9" s="107" t="s">
        <v>137</v>
      </c>
      <c r="K9" s="107" t="s">
        <v>138</v>
      </c>
      <c r="L9" s="107" t="s">
        <v>139</v>
      </c>
      <c r="M9" s="107" t="s">
        <v>140</v>
      </c>
      <c r="N9" s="107" t="s">
        <v>141</v>
      </c>
      <c r="O9" s="107" t="s">
        <v>142</v>
      </c>
      <c r="P9" s="107" t="s">
        <v>115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x14ac:dyDescent="0.3">
      <c r="A10" s="97"/>
      <c r="B10" s="88" t="s">
        <v>4</v>
      </c>
      <c r="C10" s="88" t="s">
        <v>5</v>
      </c>
      <c r="D10" s="88" t="s">
        <v>18</v>
      </c>
      <c r="E10" s="99" t="s">
        <v>19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34" x14ac:dyDescent="0.3">
      <c r="A11" s="80" t="s">
        <v>3</v>
      </c>
      <c r="B11" s="30" t="s">
        <v>88</v>
      </c>
      <c r="C11" s="30" t="s">
        <v>88</v>
      </c>
      <c r="D11" s="30" t="s">
        <v>195</v>
      </c>
      <c r="E11" s="30">
        <f>YEAR(ValDate)+1</f>
        <v>2023</v>
      </c>
      <c r="F11" s="30">
        <f t="shared" ref="F11:O11" si="0">+E11+1</f>
        <v>2024</v>
      </c>
      <c r="G11" s="30">
        <f t="shared" si="0"/>
        <v>2025</v>
      </c>
      <c r="H11" s="30">
        <f t="shared" si="0"/>
        <v>2026</v>
      </c>
      <c r="I11" s="30">
        <f t="shared" si="0"/>
        <v>2027</v>
      </c>
      <c r="J11" s="30">
        <f t="shared" si="0"/>
        <v>2028</v>
      </c>
      <c r="K11" s="30">
        <f t="shared" si="0"/>
        <v>2029</v>
      </c>
      <c r="L11" s="30">
        <f t="shared" si="0"/>
        <v>2030</v>
      </c>
      <c r="M11" s="30">
        <f t="shared" si="0"/>
        <v>2031</v>
      </c>
      <c r="N11" s="30">
        <f t="shared" si="0"/>
        <v>2032</v>
      </c>
      <c r="O11" s="30">
        <f t="shared" si="0"/>
        <v>2033</v>
      </c>
      <c r="P11" s="30" t="s">
        <v>30</v>
      </c>
    </row>
    <row r="12" spans="1:34" x14ac:dyDescent="0.3">
      <c r="A12" s="97">
        <v>180</v>
      </c>
      <c r="B12" s="108">
        <v>0</v>
      </c>
      <c r="C12" s="109">
        <f t="shared" ref="C12:C24" si="1">B12+C13</f>
        <v>1</v>
      </c>
      <c r="D12" s="110">
        <f t="shared" ref="D12:D26" si="2">1-VLOOKUP($A53,PaymentPattern,3,0)</f>
        <v>0</v>
      </c>
      <c r="E12" s="111">
        <f t="shared" ref="E12:E26" si="3">IF(D12=0%,100%,IFERROR(VLOOKUP($A53+(E$11-YEAR(ValDate))*12,PaymentPattern,2,0)/$D12,0))</f>
        <v>1</v>
      </c>
      <c r="F12" s="111">
        <f t="shared" ref="F12:O12" si="4">IFERROR(VLOOKUP($A53+(F$11-YEAR(ValDate))*12,PaymentPattern,2,0)/$D12,0)</f>
        <v>0</v>
      </c>
      <c r="G12" s="111">
        <f t="shared" si="4"/>
        <v>0</v>
      </c>
      <c r="H12" s="111">
        <f t="shared" si="4"/>
        <v>0</v>
      </c>
      <c r="I12" s="111">
        <f t="shared" si="4"/>
        <v>0</v>
      </c>
      <c r="J12" s="111">
        <f t="shared" si="4"/>
        <v>0</v>
      </c>
      <c r="K12" s="111">
        <f t="shared" si="4"/>
        <v>0</v>
      </c>
      <c r="L12" s="111">
        <f t="shared" si="4"/>
        <v>0</v>
      </c>
      <c r="M12" s="111">
        <f t="shared" si="4"/>
        <v>0</v>
      </c>
      <c r="N12" s="111">
        <f t="shared" si="4"/>
        <v>0</v>
      </c>
      <c r="O12" s="111">
        <f t="shared" si="4"/>
        <v>0</v>
      </c>
      <c r="P12" s="112">
        <f t="shared" ref="P12:P26" si="5">SUM(E12:N12)</f>
        <v>1</v>
      </c>
    </row>
    <row r="13" spans="1:34" x14ac:dyDescent="0.3">
      <c r="A13" s="97">
        <f>+A12-12</f>
        <v>168</v>
      </c>
      <c r="B13" s="108">
        <v>0</v>
      </c>
      <c r="C13" s="109">
        <f t="shared" si="1"/>
        <v>1</v>
      </c>
      <c r="D13" s="113">
        <f t="shared" si="2"/>
        <v>0</v>
      </c>
      <c r="E13" s="111">
        <f t="shared" si="3"/>
        <v>1</v>
      </c>
      <c r="F13" s="111">
        <f t="shared" ref="F13:O13" si="6">IFERROR(VLOOKUP($A54+(F$11-YEAR(ValDate))*12,PaymentPattern,2,0)/$D13,0)</f>
        <v>0</v>
      </c>
      <c r="G13" s="111">
        <f t="shared" si="6"/>
        <v>0</v>
      </c>
      <c r="H13" s="111">
        <f t="shared" si="6"/>
        <v>0</v>
      </c>
      <c r="I13" s="111">
        <f t="shared" si="6"/>
        <v>0</v>
      </c>
      <c r="J13" s="111">
        <f t="shared" si="6"/>
        <v>0</v>
      </c>
      <c r="K13" s="111">
        <f t="shared" si="6"/>
        <v>0</v>
      </c>
      <c r="L13" s="111">
        <f t="shared" si="6"/>
        <v>0</v>
      </c>
      <c r="M13" s="111">
        <f t="shared" si="6"/>
        <v>0</v>
      </c>
      <c r="N13" s="111">
        <f t="shared" si="6"/>
        <v>0</v>
      </c>
      <c r="O13" s="111">
        <f t="shared" si="6"/>
        <v>0</v>
      </c>
      <c r="P13" s="112">
        <f t="shared" si="5"/>
        <v>1</v>
      </c>
    </row>
    <row r="14" spans="1:34" x14ac:dyDescent="0.3">
      <c r="A14" s="97">
        <f t="shared" ref="A14:A26" si="7">+A13-12</f>
        <v>156</v>
      </c>
      <c r="B14" s="108">
        <v>0</v>
      </c>
      <c r="C14" s="109">
        <f t="shared" si="1"/>
        <v>1</v>
      </c>
      <c r="D14" s="113">
        <f t="shared" si="2"/>
        <v>0</v>
      </c>
      <c r="E14" s="111">
        <f t="shared" si="3"/>
        <v>1</v>
      </c>
      <c r="F14" s="111">
        <f t="shared" ref="F14:O14" si="8">IFERROR(VLOOKUP($A55+(F$11-YEAR(ValDate))*12,PaymentPattern,2,0)/$D14,0)</f>
        <v>0</v>
      </c>
      <c r="G14" s="111">
        <f t="shared" si="8"/>
        <v>0</v>
      </c>
      <c r="H14" s="111">
        <f t="shared" si="8"/>
        <v>0</v>
      </c>
      <c r="I14" s="111">
        <f t="shared" si="8"/>
        <v>0</v>
      </c>
      <c r="J14" s="111">
        <f t="shared" si="8"/>
        <v>0</v>
      </c>
      <c r="K14" s="111">
        <f t="shared" si="8"/>
        <v>0</v>
      </c>
      <c r="L14" s="111">
        <f t="shared" si="8"/>
        <v>0</v>
      </c>
      <c r="M14" s="111">
        <f t="shared" si="8"/>
        <v>0</v>
      </c>
      <c r="N14" s="111">
        <f t="shared" si="8"/>
        <v>0</v>
      </c>
      <c r="O14" s="111">
        <f t="shared" si="8"/>
        <v>0</v>
      </c>
      <c r="P14" s="112">
        <f t="shared" si="5"/>
        <v>1</v>
      </c>
    </row>
    <row r="15" spans="1:34" x14ac:dyDescent="0.3">
      <c r="A15" s="97">
        <f t="shared" si="7"/>
        <v>144</v>
      </c>
      <c r="B15" s="108">
        <v>0</v>
      </c>
      <c r="C15" s="109">
        <f t="shared" si="1"/>
        <v>1</v>
      </c>
      <c r="D15" s="113">
        <f t="shared" si="2"/>
        <v>0</v>
      </c>
      <c r="E15" s="111">
        <f t="shared" si="3"/>
        <v>1</v>
      </c>
      <c r="F15" s="111">
        <f t="shared" ref="F15:O15" si="9">IFERROR(VLOOKUP($A56+(F$11-YEAR(ValDate))*12,PaymentPattern,2,0)/$D15,0)</f>
        <v>0</v>
      </c>
      <c r="G15" s="111">
        <f t="shared" si="9"/>
        <v>0</v>
      </c>
      <c r="H15" s="111">
        <f t="shared" si="9"/>
        <v>0</v>
      </c>
      <c r="I15" s="111">
        <f t="shared" si="9"/>
        <v>0</v>
      </c>
      <c r="J15" s="111">
        <f t="shared" si="9"/>
        <v>0</v>
      </c>
      <c r="K15" s="111">
        <f t="shared" si="9"/>
        <v>0</v>
      </c>
      <c r="L15" s="111">
        <f t="shared" si="9"/>
        <v>0</v>
      </c>
      <c r="M15" s="111">
        <f t="shared" si="9"/>
        <v>0</v>
      </c>
      <c r="N15" s="111">
        <f t="shared" si="9"/>
        <v>0</v>
      </c>
      <c r="O15" s="111">
        <f t="shared" si="9"/>
        <v>0</v>
      </c>
      <c r="P15" s="112">
        <f t="shared" si="5"/>
        <v>1</v>
      </c>
    </row>
    <row r="16" spans="1:34" x14ac:dyDescent="0.3">
      <c r="A16" s="97">
        <f t="shared" si="7"/>
        <v>132</v>
      </c>
      <c r="B16" s="108">
        <v>0</v>
      </c>
      <c r="C16" s="109">
        <f t="shared" si="1"/>
        <v>1</v>
      </c>
      <c r="D16" s="113">
        <f t="shared" si="2"/>
        <v>0</v>
      </c>
      <c r="E16" s="111">
        <f t="shared" si="3"/>
        <v>1</v>
      </c>
      <c r="F16" s="111">
        <f t="shared" ref="F16:O16" si="10">IFERROR(VLOOKUP($A57+(F$11-YEAR(ValDate))*12,PaymentPattern,2,0)/$D16,0)</f>
        <v>0</v>
      </c>
      <c r="G16" s="111">
        <f t="shared" si="10"/>
        <v>0</v>
      </c>
      <c r="H16" s="111">
        <f t="shared" si="10"/>
        <v>0</v>
      </c>
      <c r="I16" s="111">
        <f t="shared" si="10"/>
        <v>0</v>
      </c>
      <c r="J16" s="111">
        <f t="shared" si="10"/>
        <v>0</v>
      </c>
      <c r="K16" s="111">
        <f t="shared" si="10"/>
        <v>0</v>
      </c>
      <c r="L16" s="111">
        <f t="shared" si="10"/>
        <v>0</v>
      </c>
      <c r="M16" s="111">
        <f t="shared" si="10"/>
        <v>0</v>
      </c>
      <c r="N16" s="111">
        <f t="shared" si="10"/>
        <v>0</v>
      </c>
      <c r="O16" s="111">
        <f t="shared" si="10"/>
        <v>0</v>
      </c>
      <c r="P16" s="112">
        <f t="shared" si="5"/>
        <v>1</v>
      </c>
    </row>
    <row r="17" spans="1:16" x14ac:dyDescent="0.3">
      <c r="A17" s="97">
        <f t="shared" si="7"/>
        <v>120</v>
      </c>
      <c r="B17" s="108">
        <v>2.5000000000000001E-2</v>
      </c>
      <c r="C17" s="109">
        <f t="shared" si="1"/>
        <v>1</v>
      </c>
      <c r="D17" s="113">
        <f t="shared" si="2"/>
        <v>0</v>
      </c>
      <c r="E17" s="111">
        <f t="shared" si="3"/>
        <v>1</v>
      </c>
      <c r="F17" s="111">
        <f t="shared" ref="F17:O17" si="11">IFERROR(VLOOKUP($A58+(F$11-YEAR(ValDate))*12,PaymentPattern,2,0)/$D17,0)</f>
        <v>0</v>
      </c>
      <c r="G17" s="111">
        <f t="shared" si="11"/>
        <v>0</v>
      </c>
      <c r="H17" s="111">
        <f t="shared" si="11"/>
        <v>0</v>
      </c>
      <c r="I17" s="111">
        <f t="shared" si="11"/>
        <v>0</v>
      </c>
      <c r="J17" s="111">
        <f t="shared" si="11"/>
        <v>0</v>
      </c>
      <c r="K17" s="111">
        <f t="shared" si="11"/>
        <v>0</v>
      </c>
      <c r="L17" s="111">
        <f t="shared" si="11"/>
        <v>0</v>
      </c>
      <c r="M17" s="111">
        <f t="shared" si="11"/>
        <v>0</v>
      </c>
      <c r="N17" s="111">
        <f t="shared" si="11"/>
        <v>0</v>
      </c>
      <c r="O17" s="111">
        <f t="shared" si="11"/>
        <v>0</v>
      </c>
      <c r="P17" s="112">
        <f t="shared" si="5"/>
        <v>1</v>
      </c>
    </row>
    <row r="18" spans="1:16" x14ac:dyDescent="0.3">
      <c r="A18" s="97">
        <f t="shared" si="7"/>
        <v>108</v>
      </c>
      <c r="B18" s="108">
        <v>2.5000000000000001E-2</v>
      </c>
      <c r="C18" s="109">
        <f t="shared" si="1"/>
        <v>0.97499999999999998</v>
      </c>
      <c r="D18" s="113">
        <f t="shared" si="2"/>
        <v>2.5000000000000022E-2</v>
      </c>
      <c r="E18" s="111">
        <f t="shared" si="3"/>
        <v>0.99999999999999922</v>
      </c>
      <c r="F18" s="111">
        <f t="shared" ref="F18:O18" si="12">IFERROR(VLOOKUP($A59+(F$11-YEAR(ValDate))*12,PaymentPattern,2,0)/$D18,0)</f>
        <v>0</v>
      </c>
      <c r="G18" s="111">
        <f t="shared" si="12"/>
        <v>0</v>
      </c>
      <c r="H18" s="111">
        <f t="shared" si="12"/>
        <v>0</v>
      </c>
      <c r="I18" s="111">
        <f t="shared" si="12"/>
        <v>0</v>
      </c>
      <c r="J18" s="111">
        <f t="shared" si="12"/>
        <v>0</v>
      </c>
      <c r="K18" s="111">
        <f t="shared" si="12"/>
        <v>0</v>
      </c>
      <c r="L18" s="111">
        <f t="shared" si="12"/>
        <v>0</v>
      </c>
      <c r="M18" s="111">
        <f t="shared" si="12"/>
        <v>0</v>
      </c>
      <c r="N18" s="111">
        <f t="shared" si="12"/>
        <v>0</v>
      </c>
      <c r="O18" s="111">
        <f t="shared" si="12"/>
        <v>0</v>
      </c>
      <c r="P18" s="112">
        <f t="shared" si="5"/>
        <v>0.99999999999999922</v>
      </c>
    </row>
    <row r="19" spans="1:16" x14ac:dyDescent="0.3">
      <c r="A19" s="97">
        <f t="shared" si="7"/>
        <v>96</v>
      </c>
      <c r="B19" s="108">
        <v>0.05</v>
      </c>
      <c r="C19" s="109">
        <f t="shared" si="1"/>
        <v>0.95</v>
      </c>
      <c r="D19" s="113">
        <f t="shared" si="2"/>
        <v>5.0000000000000044E-2</v>
      </c>
      <c r="E19" s="111">
        <f t="shared" si="3"/>
        <v>0.49999999999999961</v>
      </c>
      <c r="F19" s="111">
        <f t="shared" ref="F19:O19" si="13">IFERROR(VLOOKUP($A60+(F$11-YEAR(ValDate))*12,PaymentPattern,2,0)/$D19,0)</f>
        <v>0.49999999999999961</v>
      </c>
      <c r="G19" s="111">
        <f t="shared" si="13"/>
        <v>0</v>
      </c>
      <c r="H19" s="111">
        <f t="shared" si="13"/>
        <v>0</v>
      </c>
      <c r="I19" s="111">
        <f t="shared" si="13"/>
        <v>0</v>
      </c>
      <c r="J19" s="111">
        <f t="shared" si="13"/>
        <v>0</v>
      </c>
      <c r="K19" s="111">
        <f t="shared" si="13"/>
        <v>0</v>
      </c>
      <c r="L19" s="111">
        <f t="shared" si="13"/>
        <v>0</v>
      </c>
      <c r="M19" s="111">
        <f t="shared" si="13"/>
        <v>0</v>
      </c>
      <c r="N19" s="111">
        <f t="shared" si="13"/>
        <v>0</v>
      </c>
      <c r="O19" s="111">
        <f t="shared" si="13"/>
        <v>0</v>
      </c>
      <c r="P19" s="112">
        <f t="shared" si="5"/>
        <v>0.99999999999999922</v>
      </c>
    </row>
    <row r="20" spans="1:16" x14ac:dyDescent="0.3">
      <c r="A20" s="97">
        <f t="shared" si="7"/>
        <v>84</v>
      </c>
      <c r="B20" s="108">
        <v>0.05</v>
      </c>
      <c r="C20" s="109">
        <f t="shared" si="1"/>
        <v>0.89999999999999991</v>
      </c>
      <c r="D20" s="113">
        <f t="shared" si="2"/>
        <v>0.10000000000000009</v>
      </c>
      <c r="E20" s="111">
        <f t="shared" si="3"/>
        <v>0.49999999999999961</v>
      </c>
      <c r="F20" s="111">
        <f t="shared" ref="F20:O20" si="14">IFERROR(VLOOKUP($A61+(F$11-YEAR(ValDate))*12,PaymentPattern,2,0)/$D20,0)</f>
        <v>0.24999999999999981</v>
      </c>
      <c r="G20" s="111">
        <f t="shared" si="14"/>
        <v>0.24999999999999981</v>
      </c>
      <c r="H20" s="111">
        <f t="shared" si="14"/>
        <v>0</v>
      </c>
      <c r="I20" s="111">
        <f t="shared" si="14"/>
        <v>0</v>
      </c>
      <c r="J20" s="111">
        <f t="shared" si="14"/>
        <v>0</v>
      </c>
      <c r="K20" s="111">
        <f t="shared" si="14"/>
        <v>0</v>
      </c>
      <c r="L20" s="111">
        <f t="shared" si="14"/>
        <v>0</v>
      </c>
      <c r="M20" s="111">
        <f t="shared" si="14"/>
        <v>0</v>
      </c>
      <c r="N20" s="111">
        <f t="shared" si="14"/>
        <v>0</v>
      </c>
      <c r="O20" s="111">
        <f t="shared" si="14"/>
        <v>0</v>
      </c>
      <c r="P20" s="112">
        <f t="shared" si="5"/>
        <v>0.99999999999999922</v>
      </c>
    </row>
    <row r="21" spans="1:16" x14ac:dyDescent="0.3">
      <c r="A21" s="97">
        <f t="shared" si="7"/>
        <v>72</v>
      </c>
      <c r="B21" s="108">
        <v>7.4999999999999997E-2</v>
      </c>
      <c r="C21" s="109">
        <f t="shared" si="1"/>
        <v>0.84999999999999987</v>
      </c>
      <c r="D21" s="113">
        <f t="shared" si="2"/>
        <v>0.15000000000000013</v>
      </c>
      <c r="E21" s="111">
        <f t="shared" si="3"/>
        <v>0.33333333333333304</v>
      </c>
      <c r="F21" s="111">
        <f t="shared" ref="F21:O21" si="15">IFERROR(VLOOKUP($A62+(F$11-YEAR(ValDate))*12,PaymentPattern,2,0)/$D21,0)</f>
        <v>0.33333333333333304</v>
      </c>
      <c r="G21" s="111">
        <f t="shared" si="15"/>
        <v>0.16666666666666652</v>
      </c>
      <c r="H21" s="111">
        <f t="shared" si="15"/>
        <v>0.16666666666666652</v>
      </c>
      <c r="I21" s="111">
        <f t="shared" si="15"/>
        <v>0</v>
      </c>
      <c r="J21" s="111">
        <f t="shared" si="15"/>
        <v>0</v>
      </c>
      <c r="K21" s="111">
        <f t="shared" si="15"/>
        <v>0</v>
      </c>
      <c r="L21" s="111">
        <f t="shared" si="15"/>
        <v>0</v>
      </c>
      <c r="M21" s="111">
        <f t="shared" si="15"/>
        <v>0</v>
      </c>
      <c r="N21" s="111">
        <f t="shared" si="15"/>
        <v>0</v>
      </c>
      <c r="O21" s="111">
        <f t="shared" si="15"/>
        <v>0</v>
      </c>
      <c r="P21" s="112">
        <f t="shared" si="5"/>
        <v>0.99999999999999911</v>
      </c>
    </row>
    <row r="22" spans="1:16" x14ac:dyDescent="0.3">
      <c r="A22" s="97">
        <f t="shared" si="7"/>
        <v>60</v>
      </c>
      <c r="B22" s="108">
        <v>7.4999999999999997E-2</v>
      </c>
      <c r="C22" s="109">
        <f t="shared" si="1"/>
        <v>0.77499999999999991</v>
      </c>
      <c r="D22" s="113">
        <f t="shared" si="2"/>
        <v>0.22500000000000009</v>
      </c>
      <c r="E22" s="111">
        <f t="shared" si="3"/>
        <v>0.3333333333333332</v>
      </c>
      <c r="F22" s="111">
        <f t="shared" ref="F22:O22" si="16">IFERROR(VLOOKUP($A63+(F$11-YEAR(ValDate))*12,PaymentPattern,2,0)/$D22,0)</f>
        <v>0.22222222222222215</v>
      </c>
      <c r="G22" s="111">
        <f t="shared" si="16"/>
        <v>0.22222222222222215</v>
      </c>
      <c r="H22" s="111">
        <f t="shared" si="16"/>
        <v>0.11111111111111108</v>
      </c>
      <c r="I22" s="111">
        <f t="shared" si="16"/>
        <v>0.11111111111111108</v>
      </c>
      <c r="J22" s="111">
        <f t="shared" si="16"/>
        <v>0</v>
      </c>
      <c r="K22" s="111">
        <f t="shared" si="16"/>
        <v>0</v>
      </c>
      <c r="L22" s="111">
        <f t="shared" si="16"/>
        <v>0</v>
      </c>
      <c r="M22" s="111">
        <f t="shared" si="16"/>
        <v>0</v>
      </c>
      <c r="N22" s="111">
        <f t="shared" si="16"/>
        <v>0</v>
      </c>
      <c r="O22" s="111">
        <f t="shared" si="16"/>
        <v>0</v>
      </c>
      <c r="P22" s="112">
        <f t="shared" si="5"/>
        <v>0.99999999999999956</v>
      </c>
    </row>
    <row r="23" spans="1:16" x14ac:dyDescent="0.3">
      <c r="A23" s="97">
        <f t="shared" si="7"/>
        <v>48</v>
      </c>
      <c r="B23" s="108">
        <v>0.1</v>
      </c>
      <c r="C23" s="109">
        <f t="shared" si="1"/>
        <v>0.7</v>
      </c>
      <c r="D23" s="113">
        <f t="shared" si="2"/>
        <v>0.30000000000000004</v>
      </c>
      <c r="E23" s="111">
        <f t="shared" si="3"/>
        <v>0.24999999999999994</v>
      </c>
      <c r="F23" s="111">
        <f t="shared" ref="F23:O23" si="17">IFERROR(VLOOKUP($A64+(F$11-YEAR(ValDate))*12,PaymentPattern,2,0)/$D23,0)</f>
        <v>0.24999999999999994</v>
      </c>
      <c r="G23" s="111">
        <f t="shared" si="17"/>
        <v>0.16666666666666666</v>
      </c>
      <c r="H23" s="111">
        <f t="shared" si="17"/>
        <v>0.16666666666666666</v>
      </c>
      <c r="I23" s="111">
        <f t="shared" si="17"/>
        <v>8.3333333333333329E-2</v>
      </c>
      <c r="J23" s="111">
        <f t="shared" si="17"/>
        <v>8.3333333333333329E-2</v>
      </c>
      <c r="K23" s="111">
        <f t="shared" si="17"/>
        <v>0</v>
      </c>
      <c r="L23" s="111">
        <f t="shared" si="17"/>
        <v>0</v>
      </c>
      <c r="M23" s="111">
        <f t="shared" si="17"/>
        <v>0</v>
      </c>
      <c r="N23" s="111">
        <f t="shared" si="17"/>
        <v>0</v>
      </c>
      <c r="O23" s="111">
        <f t="shared" si="17"/>
        <v>0</v>
      </c>
      <c r="P23" s="112">
        <f t="shared" si="5"/>
        <v>0.99999999999999989</v>
      </c>
    </row>
    <row r="24" spans="1:16" x14ac:dyDescent="0.3">
      <c r="A24" s="97">
        <f t="shared" si="7"/>
        <v>36</v>
      </c>
      <c r="B24" s="108">
        <v>0.15</v>
      </c>
      <c r="C24" s="109">
        <f t="shared" si="1"/>
        <v>0.6</v>
      </c>
      <c r="D24" s="113">
        <f t="shared" si="2"/>
        <v>0.4</v>
      </c>
      <c r="E24" s="111">
        <f t="shared" si="3"/>
        <v>0.25</v>
      </c>
      <c r="F24" s="111">
        <f t="shared" ref="F24:O24" si="18">IFERROR(VLOOKUP($A65+(F$11-YEAR(ValDate))*12,PaymentPattern,2,0)/$D24,0)</f>
        <v>0.18749999999999997</v>
      </c>
      <c r="G24" s="111">
        <f t="shared" si="18"/>
        <v>0.18749999999999997</v>
      </c>
      <c r="H24" s="111">
        <f t="shared" si="18"/>
        <v>0.125</v>
      </c>
      <c r="I24" s="111">
        <f t="shared" si="18"/>
        <v>0.125</v>
      </c>
      <c r="J24" s="111">
        <f t="shared" si="18"/>
        <v>6.25E-2</v>
      </c>
      <c r="K24" s="111">
        <f t="shared" si="18"/>
        <v>6.25E-2</v>
      </c>
      <c r="L24" s="111">
        <f t="shared" si="18"/>
        <v>0</v>
      </c>
      <c r="M24" s="111">
        <f t="shared" si="18"/>
        <v>0</v>
      </c>
      <c r="N24" s="111">
        <f t="shared" si="18"/>
        <v>0</v>
      </c>
      <c r="O24" s="111">
        <f t="shared" si="18"/>
        <v>0</v>
      </c>
      <c r="P24" s="112">
        <f t="shared" si="5"/>
        <v>1</v>
      </c>
    </row>
    <row r="25" spans="1:16" x14ac:dyDescent="0.3">
      <c r="A25" s="97">
        <f t="shared" si="7"/>
        <v>24</v>
      </c>
      <c r="B25" s="108">
        <v>0.2</v>
      </c>
      <c r="C25" s="109">
        <f>B25+C26</f>
        <v>0.45</v>
      </c>
      <c r="D25" s="113">
        <f t="shared" si="2"/>
        <v>0.55000000000000004</v>
      </c>
      <c r="E25" s="111">
        <f t="shared" si="3"/>
        <v>0.27272727272727271</v>
      </c>
      <c r="F25" s="111">
        <f t="shared" ref="F25:O25" si="19">IFERROR(VLOOKUP($A66+(F$11-YEAR(ValDate))*12,PaymentPattern,2,0)/$D25,0)</f>
        <v>0.18181818181818182</v>
      </c>
      <c r="G25" s="114">
        <f t="shared" si="19"/>
        <v>0.13636363636363635</v>
      </c>
      <c r="H25" s="111">
        <f t="shared" si="19"/>
        <v>0.13636363636363635</v>
      </c>
      <c r="I25" s="111">
        <f t="shared" si="19"/>
        <v>9.0909090909090912E-2</v>
      </c>
      <c r="J25" s="111">
        <f t="shared" si="19"/>
        <v>9.0909090909090912E-2</v>
      </c>
      <c r="K25" s="111">
        <f t="shared" si="19"/>
        <v>4.5454545454545456E-2</v>
      </c>
      <c r="L25" s="111">
        <f t="shared" si="19"/>
        <v>4.5454545454545456E-2</v>
      </c>
      <c r="M25" s="111">
        <f t="shared" si="19"/>
        <v>0</v>
      </c>
      <c r="N25" s="111">
        <f t="shared" si="19"/>
        <v>0</v>
      </c>
      <c r="O25" s="111">
        <f t="shared" si="19"/>
        <v>0</v>
      </c>
      <c r="P25" s="112">
        <f t="shared" si="5"/>
        <v>0.99999999999999989</v>
      </c>
    </row>
    <row r="26" spans="1:16" x14ac:dyDescent="0.3">
      <c r="A26" s="97">
        <f t="shared" si="7"/>
        <v>12</v>
      </c>
      <c r="B26" s="108">
        <v>0.25</v>
      </c>
      <c r="C26" s="109">
        <f>B26</f>
        <v>0.25</v>
      </c>
      <c r="D26" s="113">
        <f t="shared" si="2"/>
        <v>0.75</v>
      </c>
      <c r="E26" s="111">
        <f t="shared" si="3"/>
        <v>0.26666666666666666</v>
      </c>
      <c r="F26" s="111">
        <f t="shared" ref="F26:O26" si="20">IFERROR(VLOOKUP($A67+(F$11-YEAR(ValDate))*12,PaymentPattern,2,0)/$D26,0)</f>
        <v>0.19999999999999998</v>
      </c>
      <c r="G26" s="111">
        <f t="shared" si="20"/>
        <v>0.13333333333333333</v>
      </c>
      <c r="H26" s="111">
        <f t="shared" si="20"/>
        <v>9.9999999999999992E-2</v>
      </c>
      <c r="I26" s="111">
        <f t="shared" si="20"/>
        <v>9.9999999999999992E-2</v>
      </c>
      <c r="J26" s="111">
        <f t="shared" si="20"/>
        <v>6.6666666666666666E-2</v>
      </c>
      <c r="K26" s="111">
        <f t="shared" si="20"/>
        <v>6.6666666666666666E-2</v>
      </c>
      <c r="L26" s="111">
        <f t="shared" si="20"/>
        <v>3.3333333333333333E-2</v>
      </c>
      <c r="M26" s="111">
        <f t="shared" si="20"/>
        <v>3.3333333333333333E-2</v>
      </c>
      <c r="N26" s="111">
        <f t="shared" si="20"/>
        <v>0</v>
      </c>
      <c r="O26" s="111">
        <f t="shared" si="20"/>
        <v>0</v>
      </c>
      <c r="P26" s="112">
        <f t="shared" si="5"/>
        <v>0.99999999999999989</v>
      </c>
    </row>
    <row r="27" spans="1:16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30" spans="1:16" x14ac:dyDescent="0.3">
      <c r="E30" s="116" t="s">
        <v>200</v>
      </c>
    </row>
    <row r="31" spans="1:16" x14ac:dyDescent="0.3">
      <c r="E31" s="115" t="s">
        <v>201</v>
      </c>
    </row>
    <row r="32" spans="1:16" x14ac:dyDescent="0.3">
      <c r="E32" s="115" t="s">
        <v>202</v>
      </c>
    </row>
    <row r="33" spans="1:16" x14ac:dyDescent="0.3">
      <c r="E33" s="115" t="s">
        <v>203</v>
      </c>
    </row>
    <row r="34" spans="1:16" x14ac:dyDescent="0.3">
      <c r="E34" s="173" t="s">
        <v>204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</row>
    <row r="35" spans="1:16" x14ac:dyDescent="0.3"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</row>
    <row r="39" spans="1:16" x14ac:dyDescent="0.3">
      <c r="A39" s="56" t="s">
        <v>13</v>
      </c>
    </row>
    <row r="40" spans="1:16" x14ac:dyDescent="0.3">
      <c r="A40" s="115" t="s">
        <v>155</v>
      </c>
    </row>
    <row r="41" spans="1:16" x14ac:dyDescent="0.3">
      <c r="A41" s="115" t="s">
        <v>156</v>
      </c>
    </row>
    <row r="42" spans="1:16" x14ac:dyDescent="0.3">
      <c r="A42" s="115" t="s">
        <v>157</v>
      </c>
    </row>
    <row r="43" spans="1:16" x14ac:dyDescent="0.3">
      <c r="A43" s="115" t="s">
        <v>274</v>
      </c>
    </row>
    <row r="44" spans="1:16" x14ac:dyDescent="0.3">
      <c r="A44" s="115" t="s">
        <v>275</v>
      </c>
    </row>
    <row r="51" spans="1:17" x14ac:dyDescent="0.3">
      <c r="A51" s="88" t="s">
        <v>17</v>
      </c>
      <c r="B51" s="97" t="s">
        <v>9</v>
      </c>
      <c r="N51" s="97"/>
      <c r="O51" s="97"/>
      <c r="P51" s="97"/>
      <c r="Q51" s="97"/>
    </row>
    <row r="52" spans="1:17" x14ac:dyDescent="0.3">
      <c r="A52" s="30" t="s">
        <v>3</v>
      </c>
      <c r="B52" s="80" t="s">
        <v>10</v>
      </c>
      <c r="N52" s="97"/>
      <c r="O52" s="97"/>
      <c r="P52" s="97"/>
      <c r="Q52" s="97"/>
    </row>
    <row r="53" spans="1:17" x14ac:dyDescent="0.3">
      <c r="A53" s="41">
        <f t="shared" ref="A53:A66" si="21">+A54+12</f>
        <v>180</v>
      </c>
      <c r="B53" s="97">
        <f>YEAR(ValDate)-14</f>
        <v>2008</v>
      </c>
      <c r="N53" s="97"/>
      <c r="O53" s="97"/>
      <c r="P53" s="97"/>
      <c r="Q53" s="97"/>
    </row>
    <row r="54" spans="1:17" x14ac:dyDescent="0.3">
      <c r="A54" s="41">
        <f t="shared" si="21"/>
        <v>168</v>
      </c>
      <c r="B54" s="97">
        <f t="shared" ref="B54:B67" si="22">+B53+1</f>
        <v>2009</v>
      </c>
      <c r="N54" s="97"/>
      <c r="O54" s="97"/>
      <c r="P54" s="97"/>
      <c r="Q54" s="97"/>
    </row>
    <row r="55" spans="1:17" x14ac:dyDescent="0.3">
      <c r="A55" s="41">
        <f t="shared" si="21"/>
        <v>156</v>
      </c>
      <c r="B55" s="97">
        <f t="shared" si="22"/>
        <v>2010</v>
      </c>
      <c r="N55" s="97"/>
    </row>
    <row r="56" spans="1:17" x14ac:dyDescent="0.3">
      <c r="A56" s="41">
        <f t="shared" si="21"/>
        <v>144</v>
      </c>
      <c r="B56" s="97">
        <f t="shared" si="22"/>
        <v>2011</v>
      </c>
      <c r="N56" s="97"/>
    </row>
    <row r="57" spans="1:17" x14ac:dyDescent="0.3">
      <c r="A57" s="41">
        <f t="shared" si="21"/>
        <v>132</v>
      </c>
      <c r="B57" s="97">
        <f t="shared" si="22"/>
        <v>2012</v>
      </c>
      <c r="N57" s="97"/>
    </row>
    <row r="58" spans="1:17" x14ac:dyDescent="0.3">
      <c r="A58" s="41">
        <f t="shared" si="21"/>
        <v>120</v>
      </c>
      <c r="B58" s="97">
        <f t="shared" si="22"/>
        <v>2013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7" x14ac:dyDescent="0.3">
      <c r="A59" s="41">
        <f t="shared" si="21"/>
        <v>108</v>
      </c>
      <c r="B59" s="97">
        <f t="shared" si="22"/>
        <v>2014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</row>
    <row r="60" spans="1:17" x14ac:dyDescent="0.3">
      <c r="A60" s="41">
        <f t="shared" si="21"/>
        <v>96</v>
      </c>
      <c r="B60" s="97">
        <f t="shared" si="22"/>
        <v>2015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7" x14ac:dyDescent="0.3">
      <c r="A61" s="41">
        <f t="shared" si="21"/>
        <v>84</v>
      </c>
      <c r="B61" s="97">
        <f t="shared" si="22"/>
        <v>2016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7" x14ac:dyDescent="0.3">
      <c r="A62" s="41">
        <f t="shared" si="21"/>
        <v>72</v>
      </c>
      <c r="B62" s="97">
        <f t="shared" si="22"/>
        <v>2017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x14ac:dyDescent="0.3">
      <c r="A63" s="41">
        <f t="shared" si="21"/>
        <v>60</v>
      </c>
      <c r="B63" s="97">
        <f t="shared" si="22"/>
        <v>2018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7" x14ac:dyDescent="0.3">
      <c r="A64" s="41">
        <f t="shared" si="21"/>
        <v>48</v>
      </c>
      <c r="B64" s="97">
        <f t="shared" si="22"/>
        <v>2019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x14ac:dyDescent="0.3">
      <c r="A65" s="41">
        <f t="shared" si="21"/>
        <v>36</v>
      </c>
      <c r="B65" s="97">
        <f t="shared" si="22"/>
        <v>2020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</row>
    <row r="66" spans="1:14" x14ac:dyDescent="0.3">
      <c r="A66" s="41">
        <f t="shared" si="21"/>
        <v>24</v>
      </c>
      <c r="B66" s="97">
        <f t="shared" si="22"/>
        <v>2021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x14ac:dyDescent="0.3">
      <c r="A67" s="41">
        <v>12</v>
      </c>
      <c r="B67" s="97">
        <f t="shared" si="22"/>
        <v>2022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</sheetData>
  <sheetProtection sheet="1" objects="1" scenarios="1"/>
  <mergeCells count="1">
    <mergeCell ref="E34:P3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9D039-AF3B-4CAF-93E5-E12720CDE092}">
  <dimension ref="A1:AU257"/>
  <sheetViews>
    <sheetView tabSelected="1" view="pageBreakPreview" zoomScale="85" zoomScaleNormal="100" zoomScaleSheetLayoutView="85" workbookViewId="0">
      <selection activeCell="D5" sqref="D5"/>
    </sheetView>
  </sheetViews>
  <sheetFormatPr defaultColWidth="11.77734375" defaultRowHeight="14.4" x14ac:dyDescent="0.3"/>
  <cols>
    <col min="1" max="7" width="11.77734375" style="41"/>
    <col min="8" max="8" width="12.21875" style="41" customWidth="1"/>
    <col min="9" max="9" width="12.21875" style="41" bestFit="1" customWidth="1"/>
    <col min="10" max="10" width="11.77734375" style="41"/>
    <col min="11" max="11" width="11.77734375" style="41" customWidth="1"/>
    <col min="12" max="14" width="11.77734375" style="41"/>
    <col min="15" max="26" width="10.77734375" style="41" customWidth="1"/>
    <col min="27" max="28" width="11.77734375" style="41"/>
    <col min="29" max="36" width="13.5546875" style="41" customWidth="1"/>
    <col min="37" max="16384" width="11.77734375" style="41"/>
  </cols>
  <sheetData>
    <row r="1" spans="1:36" x14ac:dyDescent="0.3">
      <c r="A1" s="104" t="s">
        <v>22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O1" s="104" t="s">
        <v>23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B1" s="104" t="s">
        <v>24</v>
      </c>
      <c r="AC1" s="105"/>
      <c r="AD1" s="105"/>
      <c r="AE1" s="105"/>
      <c r="AF1" s="105"/>
      <c r="AG1" s="105"/>
      <c r="AH1" s="105"/>
      <c r="AI1" s="105"/>
      <c r="AJ1" s="105"/>
    </row>
    <row r="2" spans="1:36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6" x14ac:dyDescent="0.3">
      <c r="A3" s="104" t="str">
        <f>CompanyName</f>
        <v>Company ABC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O3" s="104" t="str">
        <f>CompanyName</f>
        <v>Company ABC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B3" s="104" t="str">
        <f>CompanyName</f>
        <v>Company ABC</v>
      </c>
      <c r="AC3" s="105"/>
      <c r="AD3" s="105"/>
      <c r="AE3" s="105"/>
      <c r="AF3" s="105"/>
      <c r="AG3" s="105"/>
      <c r="AH3" s="105"/>
      <c r="AI3" s="105"/>
      <c r="AJ3" s="105"/>
    </row>
    <row r="4" spans="1:36" x14ac:dyDescent="0.3">
      <c r="A4" s="105" t="s">
        <v>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O4" s="105" t="s">
        <v>7</v>
      </c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B4" s="105" t="s">
        <v>7</v>
      </c>
      <c r="AC4" s="105"/>
      <c r="AD4" s="105"/>
      <c r="AE4" s="105"/>
      <c r="AF4" s="105"/>
      <c r="AG4" s="105"/>
      <c r="AH4" s="105"/>
      <c r="AI4" s="105"/>
      <c r="AJ4" s="105"/>
    </row>
    <row r="5" spans="1:36" x14ac:dyDescent="0.3">
      <c r="A5" s="105" t="s">
        <v>26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O5" s="105" t="s">
        <v>25</v>
      </c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B5" s="105" t="s">
        <v>47</v>
      </c>
      <c r="AC5" s="105"/>
      <c r="AD5" s="105"/>
      <c r="AE5" s="105"/>
      <c r="AF5" s="105"/>
      <c r="AG5" s="105"/>
      <c r="AH5" s="105"/>
      <c r="AI5" s="105"/>
      <c r="AJ5" s="105"/>
    </row>
    <row r="6" spans="1:36" x14ac:dyDescent="0.3">
      <c r="A6" s="105" t="str">
        <f>"As at "&amp;TEXT(ValDate,"mmmm dd, yyyy")</f>
        <v>As at December 31, 2022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O6" s="105" t="str">
        <f>"As at "&amp;TEXT(ValDate,"mmmm dd, yyyy")</f>
        <v>As at December 31, 2022</v>
      </c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B6" s="105" t="str">
        <f>"As at "&amp;TEXT(ValDate,"mmmm dd, yyyy")</f>
        <v>As at December 31, 2022</v>
      </c>
      <c r="AC6" s="105"/>
      <c r="AD6" s="105"/>
      <c r="AE6" s="105"/>
      <c r="AF6" s="105"/>
      <c r="AG6" s="105"/>
      <c r="AH6" s="105"/>
      <c r="AI6" s="105"/>
      <c r="AJ6" s="105"/>
    </row>
    <row r="8" spans="1:36" x14ac:dyDescent="0.3">
      <c r="A8" s="56" t="s">
        <v>48</v>
      </c>
      <c r="Q8" s="107" t="s">
        <v>14</v>
      </c>
      <c r="R8" s="107" t="s">
        <v>15</v>
      </c>
      <c r="S8" s="107" t="s">
        <v>16</v>
      </c>
      <c r="T8" s="107" t="s">
        <v>113</v>
      </c>
      <c r="U8" s="107" t="s">
        <v>114</v>
      </c>
      <c r="V8" s="107" t="s">
        <v>115</v>
      </c>
      <c r="W8" s="107" t="s">
        <v>116</v>
      </c>
      <c r="X8" s="107" t="s">
        <v>117</v>
      </c>
      <c r="Y8" s="107" t="s">
        <v>118</v>
      </c>
      <c r="Z8" s="107" t="s">
        <v>122</v>
      </c>
      <c r="AC8" s="107" t="s">
        <v>14</v>
      </c>
      <c r="AD8" s="107" t="s">
        <v>15</v>
      </c>
      <c r="AE8" s="107" t="s">
        <v>16</v>
      </c>
      <c r="AF8" s="107" t="s">
        <v>113</v>
      </c>
      <c r="AG8" s="107" t="s">
        <v>114</v>
      </c>
      <c r="AH8" s="107" t="s">
        <v>115</v>
      </c>
      <c r="AI8" s="107" t="s">
        <v>116</v>
      </c>
      <c r="AJ8" s="107" t="s">
        <v>117</v>
      </c>
    </row>
    <row r="9" spans="1:36" x14ac:dyDescent="0.3">
      <c r="A9" s="56" t="s">
        <v>106</v>
      </c>
      <c r="Q9" s="99" t="s">
        <v>109</v>
      </c>
      <c r="R9" s="99"/>
      <c r="S9" s="49"/>
      <c r="T9" s="49"/>
      <c r="U9" s="99" t="s">
        <v>111</v>
      </c>
      <c r="V9" s="99"/>
      <c r="W9" s="49"/>
      <c r="X9" s="99" t="s">
        <v>112</v>
      </c>
      <c r="Y9" s="99"/>
      <c r="Z9" s="99"/>
      <c r="AC9" s="147" t="s">
        <v>110</v>
      </c>
      <c r="AD9" s="147"/>
      <c r="AE9" s="148"/>
      <c r="AF9" s="147" t="s">
        <v>110</v>
      </c>
      <c r="AG9" s="147"/>
      <c r="AH9" s="147"/>
      <c r="AI9" s="147"/>
    </row>
    <row r="10" spans="1:36" x14ac:dyDescent="0.3">
      <c r="A10" s="56"/>
      <c r="Q10" s="28" t="s">
        <v>62</v>
      </c>
      <c r="R10" s="28"/>
      <c r="S10" s="50" t="s">
        <v>123</v>
      </c>
      <c r="T10" s="45" t="s">
        <v>124</v>
      </c>
      <c r="U10" s="28"/>
      <c r="V10" s="40"/>
      <c r="W10" s="132" t="s">
        <v>28</v>
      </c>
      <c r="X10" s="28"/>
      <c r="Y10" s="40"/>
      <c r="Z10" s="28" t="s">
        <v>28</v>
      </c>
      <c r="AC10" s="99" t="s">
        <v>45</v>
      </c>
      <c r="AD10" s="99"/>
      <c r="AE10" s="49"/>
      <c r="AF10" s="99" t="s">
        <v>46</v>
      </c>
      <c r="AG10" s="99"/>
      <c r="AH10" s="99"/>
      <c r="AI10" s="99"/>
    </row>
    <row r="11" spans="1:36" x14ac:dyDescent="0.3">
      <c r="A11" s="56"/>
      <c r="C11" s="99" t="s">
        <v>54</v>
      </c>
      <c r="D11" s="99"/>
      <c r="E11" s="99"/>
      <c r="F11" s="99"/>
      <c r="G11" s="99"/>
      <c r="H11" s="99"/>
      <c r="O11" s="97" t="s">
        <v>2</v>
      </c>
      <c r="P11" s="97" t="s">
        <v>58</v>
      </c>
      <c r="Q11" s="28" t="s">
        <v>63</v>
      </c>
      <c r="R11" s="28" t="s">
        <v>37</v>
      </c>
      <c r="S11" s="28" t="s">
        <v>38</v>
      </c>
      <c r="T11" s="45" t="s">
        <v>38</v>
      </c>
      <c r="U11" s="28"/>
      <c r="V11" s="40"/>
      <c r="W11" s="45" t="s">
        <v>38</v>
      </c>
      <c r="X11" s="28"/>
      <c r="Y11" s="40"/>
      <c r="Z11" s="28" t="s">
        <v>38</v>
      </c>
      <c r="AB11" s="88" t="s">
        <v>2</v>
      </c>
      <c r="AC11" s="88" t="s">
        <v>37</v>
      </c>
      <c r="AD11" s="88" t="s">
        <v>38</v>
      </c>
      <c r="AE11" s="45" t="s">
        <v>40</v>
      </c>
      <c r="AF11" s="88" t="s">
        <v>41</v>
      </c>
      <c r="AG11" s="88" t="s">
        <v>42</v>
      </c>
      <c r="AH11" s="88" t="s">
        <v>44</v>
      </c>
      <c r="AI11" s="28" t="s">
        <v>40</v>
      </c>
      <c r="AJ11" s="88" t="s">
        <v>28</v>
      </c>
    </row>
    <row r="12" spans="1:36" x14ac:dyDescent="0.3">
      <c r="A12" s="149"/>
      <c r="B12" s="149"/>
      <c r="C12" s="30" t="s">
        <v>55</v>
      </c>
      <c r="D12" s="30" t="s">
        <v>299</v>
      </c>
      <c r="E12" s="30" t="s">
        <v>34</v>
      </c>
      <c r="F12" s="30" t="s">
        <v>35</v>
      </c>
      <c r="G12" s="30" t="s">
        <v>33</v>
      </c>
      <c r="H12" s="30" t="s">
        <v>56</v>
      </c>
      <c r="I12" s="30" t="s">
        <v>30</v>
      </c>
      <c r="O12" s="80" t="s">
        <v>10</v>
      </c>
      <c r="P12" s="80" t="s">
        <v>59</v>
      </c>
      <c r="Q12" s="30" t="s">
        <v>27</v>
      </c>
      <c r="R12" s="30" t="s">
        <v>27</v>
      </c>
      <c r="S12" s="30" t="s">
        <v>39</v>
      </c>
      <c r="T12" s="51" t="s">
        <v>39</v>
      </c>
      <c r="U12" s="30" t="s">
        <v>64</v>
      </c>
      <c r="V12" s="30" t="s">
        <v>65</v>
      </c>
      <c r="W12" s="51" t="s">
        <v>39</v>
      </c>
      <c r="X12" s="30" t="s">
        <v>64</v>
      </c>
      <c r="Y12" s="30" t="s">
        <v>65</v>
      </c>
      <c r="Z12" s="30" t="s">
        <v>39</v>
      </c>
      <c r="AB12" s="30" t="s">
        <v>36</v>
      </c>
      <c r="AC12" s="30" t="s">
        <v>27</v>
      </c>
      <c r="AD12" s="30" t="s">
        <v>39</v>
      </c>
      <c r="AE12" s="51" t="s">
        <v>27</v>
      </c>
      <c r="AF12" s="30" t="s">
        <v>27</v>
      </c>
      <c r="AG12" s="30" t="s">
        <v>43</v>
      </c>
      <c r="AH12" s="30" t="s">
        <v>43</v>
      </c>
      <c r="AI12" s="30" t="s">
        <v>27</v>
      </c>
      <c r="AJ12" s="30" t="s">
        <v>27</v>
      </c>
    </row>
    <row r="13" spans="1:36" x14ac:dyDescent="0.3">
      <c r="A13" s="84" t="s">
        <v>107</v>
      </c>
      <c r="B13" s="40"/>
      <c r="C13" s="150">
        <v>0</v>
      </c>
      <c r="D13" s="150">
        <v>0</v>
      </c>
      <c r="E13" s="150">
        <v>0.09</v>
      </c>
      <c r="F13" s="150">
        <v>0.28000000000000003</v>
      </c>
      <c r="G13" s="150">
        <v>0.28000000000000003</v>
      </c>
      <c r="H13" s="150">
        <v>0.35</v>
      </c>
      <c r="I13" s="151">
        <f>SUM(C13:H13)</f>
        <v>1</v>
      </c>
      <c r="M13" s="151"/>
      <c r="O13" s="97">
        <f>$A$24</f>
        <v>2023</v>
      </c>
      <c r="P13" s="97">
        <v>0.5</v>
      </c>
      <c r="Q13" s="37">
        <f t="shared" ref="Q13:Q22" si="0">I171</f>
        <v>2.4161051511764533E-2</v>
      </c>
      <c r="R13" s="37">
        <f t="shared" ref="R13:R22" si="1">AC13</f>
        <v>1.78923E-2</v>
      </c>
      <c r="S13" s="52">
        <f>Q13-R13</f>
        <v>6.268751511764533E-3</v>
      </c>
      <c r="T13" s="103">
        <v>6.0000000000000001E-3</v>
      </c>
      <c r="U13" s="152">
        <v>0</v>
      </c>
      <c r="V13" s="38">
        <v>0</v>
      </c>
      <c r="W13" s="118">
        <f>+T13*U13+V13</f>
        <v>0</v>
      </c>
      <c r="X13" s="152">
        <v>1</v>
      </c>
      <c r="Y13" s="38">
        <v>0</v>
      </c>
      <c r="Z13" s="38">
        <f>+T13*X13+Y13</f>
        <v>6.0000000000000001E-3</v>
      </c>
      <c r="AB13" s="153">
        <f>DATE(YEAR(ValDate)+1,6,30)</f>
        <v>45107</v>
      </c>
      <c r="AC13" s="32">
        <v>1.78923E-2</v>
      </c>
      <c r="AD13" s="38">
        <f t="shared" ref="AD13:AD22" si="2">Z13</f>
        <v>6.0000000000000001E-3</v>
      </c>
      <c r="AE13" s="118">
        <f>AC13+AD13</f>
        <v>2.3892299999999998E-2</v>
      </c>
      <c r="AF13" s="38">
        <f t="shared" ref="AF13:AF22" si="3">I24</f>
        <v>2.694676494598389E-2</v>
      </c>
      <c r="AG13" s="38">
        <f t="shared" ref="AG13:AG22" si="4">I235/10000</f>
        <v>2.7857134342193571E-3</v>
      </c>
      <c r="AH13" s="38">
        <v>0</v>
      </c>
      <c r="AI13" s="118">
        <f>AF13-AG13-AH13</f>
        <v>2.4161051511764533E-2</v>
      </c>
      <c r="AJ13" s="32">
        <f>AE13</f>
        <v>2.3892299999999998E-2</v>
      </c>
    </row>
    <row r="14" spans="1:36" x14ac:dyDescent="0.3">
      <c r="O14" s="97">
        <f>+O13+1</f>
        <v>2024</v>
      </c>
      <c r="P14" s="97">
        <f>+P13+1</f>
        <v>1.5</v>
      </c>
      <c r="Q14" s="37">
        <f t="shared" si="0"/>
        <v>2.5131671547889711E-2</v>
      </c>
      <c r="R14" s="37">
        <f t="shared" si="1"/>
        <v>1.8412000000000001E-2</v>
      </c>
      <c r="S14" s="52">
        <f t="shared" ref="S14:S22" si="5">Q14-R14</f>
        <v>6.7196715478897093E-3</v>
      </c>
      <c r="T14" s="103">
        <v>6.4999999999999997E-3</v>
      </c>
      <c r="U14" s="152">
        <v>0</v>
      </c>
      <c r="V14" s="38">
        <v>0</v>
      </c>
      <c r="W14" s="118">
        <f t="shared" ref="W14:W22" si="6">+T14*U14+V14</f>
        <v>0</v>
      </c>
      <c r="X14" s="152">
        <v>1</v>
      </c>
      <c r="Y14" s="38">
        <v>0</v>
      </c>
      <c r="Z14" s="38">
        <f t="shared" ref="Z14:Z22" si="7">+T14*X14+Y14</f>
        <v>6.4999999999999997E-3</v>
      </c>
      <c r="AB14" s="154">
        <f>DATE(YEAR(AB13)+1,6,30)</f>
        <v>45473</v>
      </c>
      <c r="AC14" s="32">
        <v>1.8412000000000001E-2</v>
      </c>
      <c r="AD14" s="38">
        <f t="shared" si="2"/>
        <v>6.4999999999999997E-3</v>
      </c>
      <c r="AE14" s="118">
        <f t="shared" ref="AE14:AE22" si="8">AC14+AD14</f>
        <v>2.4912E-2</v>
      </c>
      <c r="AF14" s="38">
        <f t="shared" si="3"/>
        <v>2.7810757458209996E-2</v>
      </c>
      <c r="AG14" s="38">
        <f t="shared" si="4"/>
        <v>2.6790859103202856E-3</v>
      </c>
      <c r="AH14" s="38">
        <v>0</v>
      </c>
      <c r="AI14" s="118">
        <f t="shared" ref="AI14:AI22" si="9">AF14-AG14-AH14</f>
        <v>2.5131671547889711E-2</v>
      </c>
      <c r="AJ14" s="32">
        <f t="shared" ref="AJ14:AJ22" si="10">AE14</f>
        <v>2.4912E-2</v>
      </c>
    </row>
    <row r="15" spans="1:36" x14ac:dyDescent="0.3">
      <c r="A15" s="56" t="s">
        <v>13</v>
      </c>
      <c r="O15" s="97">
        <f t="shared" ref="O15:P22" si="11">+O14+1</f>
        <v>2025</v>
      </c>
      <c r="P15" s="97">
        <f t="shared" si="11"/>
        <v>2.5</v>
      </c>
      <c r="Q15" s="37">
        <f t="shared" si="0"/>
        <v>2.6314012706279755E-2</v>
      </c>
      <c r="R15" s="37">
        <f t="shared" si="1"/>
        <v>1.85915E-2</v>
      </c>
      <c r="S15" s="52">
        <f t="shared" si="5"/>
        <v>7.7225127062797543E-3</v>
      </c>
      <c r="T15" s="103">
        <v>7.4999999999999997E-3</v>
      </c>
      <c r="U15" s="152">
        <v>0</v>
      </c>
      <c r="V15" s="38">
        <v>0</v>
      </c>
      <c r="W15" s="118">
        <f t="shared" si="6"/>
        <v>0</v>
      </c>
      <c r="X15" s="152">
        <v>1</v>
      </c>
      <c r="Y15" s="38">
        <v>0</v>
      </c>
      <c r="Z15" s="38">
        <f t="shared" si="7"/>
        <v>7.4999999999999997E-3</v>
      </c>
      <c r="AB15" s="154">
        <f t="shared" ref="AB15:AB22" si="12">DATE(YEAR(AB14)+1,6,30)</f>
        <v>45838</v>
      </c>
      <c r="AC15" s="32">
        <v>1.85915E-2</v>
      </c>
      <c r="AD15" s="38">
        <f t="shared" si="2"/>
        <v>7.4999999999999997E-3</v>
      </c>
      <c r="AE15" s="118">
        <f t="shared" si="8"/>
        <v>2.60915E-2</v>
      </c>
      <c r="AF15" s="38">
        <f t="shared" si="3"/>
        <v>2.8994063019752506E-2</v>
      </c>
      <c r="AG15" s="38">
        <f t="shared" si="4"/>
        <v>2.680050313472751E-3</v>
      </c>
      <c r="AH15" s="38">
        <v>0</v>
      </c>
      <c r="AI15" s="118">
        <f t="shared" si="9"/>
        <v>2.6314012706279755E-2</v>
      </c>
      <c r="AJ15" s="32">
        <f t="shared" si="10"/>
        <v>2.60915E-2</v>
      </c>
    </row>
    <row r="16" spans="1:36" x14ac:dyDescent="0.3">
      <c r="A16" s="41" t="s">
        <v>300</v>
      </c>
      <c r="O16" s="97">
        <f t="shared" si="11"/>
        <v>2026</v>
      </c>
      <c r="P16" s="97">
        <f t="shared" si="11"/>
        <v>3.5</v>
      </c>
      <c r="Q16" s="37">
        <f t="shared" si="0"/>
        <v>2.7810089111328123E-2</v>
      </c>
      <c r="R16" s="37">
        <f t="shared" si="1"/>
        <v>1.8719599999999999E-2</v>
      </c>
      <c r="S16" s="52">
        <f t="shared" si="5"/>
        <v>9.090489111328124E-3</v>
      </c>
      <c r="T16" s="103">
        <v>8.9999999999999993E-3</v>
      </c>
      <c r="U16" s="152">
        <v>0</v>
      </c>
      <c r="V16" s="38">
        <v>0</v>
      </c>
      <c r="W16" s="118">
        <f t="shared" si="6"/>
        <v>0</v>
      </c>
      <c r="X16" s="152">
        <v>1</v>
      </c>
      <c r="Y16" s="38">
        <v>0</v>
      </c>
      <c r="Z16" s="38">
        <f t="shared" si="7"/>
        <v>8.9999999999999993E-3</v>
      </c>
      <c r="AB16" s="154">
        <f t="shared" si="12"/>
        <v>46203</v>
      </c>
      <c r="AC16" s="32">
        <v>1.8719599999999999E-2</v>
      </c>
      <c r="AD16" s="38">
        <f t="shared" si="2"/>
        <v>8.9999999999999993E-3</v>
      </c>
      <c r="AE16" s="118">
        <f t="shared" si="8"/>
        <v>2.7719599999999997E-2</v>
      </c>
      <c r="AF16" s="38">
        <f t="shared" si="3"/>
        <v>3.0813820362091068E-2</v>
      </c>
      <c r="AG16" s="38">
        <f t="shared" si="4"/>
        <v>3.0037312507629442E-3</v>
      </c>
      <c r="AH16" s="38">
        <v>0</v>
      </c>
      <c r="AI16" s="118">
        <f t="shared" si="9"/>
        <v>2.7810089111328123E-2</v>
      </c>
      <c r="AJ16" s="32">
        <f t="shared" si="10"/>
        <v>2.7719599999999997E-2</v>
      </c>
    </row>
    <row r="17" spans="1:36" x14ac:dyDescent="0.3">
      <c r="O17" s="97">
        <f t="shared" si="11"/>
        <v>2027</v>
      </c>
      <c r="P17" s="97">
        <f t="shared" si="11"/>
        <v>4.5</v>
      </c>
      <c r="Q17" s="37">
        <f t="shared" si="0"/>
        <v>2.8405218183994295E-2</v>
      </c>
      <c r="R17" s="37">
        <f t="shared" si="1"/>
        <v>1.88387E-2</v>
      </c>
      <c r="S17" s="52">
        <f t="shared" si="5"/>
        <v>9.566518183994295E-3</v>
      </c>
      <c r="T17" s="103">
        <v>9.4999999999999998E-3</v>
      </c>
      <c r="U17" s="152">
        <v>0</v>
      </c>
      <c r="V17" s="38">
        <v>0</v>
      </c>
      <c r="W17" s="118">
        <f t="shared" si="6"/>
        <v>0</v>
      </c>
      <c r="X17" s="152">
        <v>1</v>
      </c>
      <c r="Y17" s="38">
        <v>0</v>
      </c>
      <c r="Z17" s="38">
        <f t="shared" si="7"/>
        <v>9.4999999999999998E-3</v>
      </c>
      <c r="AB17" s="154">
        <f t="shared" si="12"/>
        <v>46568</v>
      </c>
      <c r="AC17" s="32">
        <v>1.88387E-2</v>
      </c>
      <c r="AD17" s="38">
        <f t="shared" si="2"/>
        <v>9.4999999999999998E-3</v>
      </c>
      <c r="AE17" s="118">
        <f t="shared" si="8"/>
        <v>2.8338700000000001E-2</v>
      </c>
      <c r="AF17" s="38">
        <f t="shared" si="3"/>
        <v>3.1844093561172487E-2</v>
      </c>
      <c r="AG17" s="38">
        <f t="shared" si="4"/>
        <v>3.438875377178192E-3</v>
      </c>
      <c r="AH17" s="38">
        <v>0</v>
      </c>
      <c r="AI17" s="118">
        <f t="shared" si="9"/>
        <v>2.8405218183994295E-2</v>
      </c>
      <c r="AJ17" s="32">
        <f t="shared" si="10"/>
        <v>2.8338700000000001E-2</v>
      </c>
    </row>
    <row r="18" spans="1:36" x14ac:dyDescent="0.3">
      <c r="O18" s="97">
        <f t="shared" si="11"/>
        <v>2028</v>
      </c>
      <c r="P18" s="97">
        <f t="shared" si="11"/>
        <v>5.5</v>
      </c>
      <c r="Q18" s="37">
        <f t="shared" si="0"/>
        <v>2.8901972055435179E-2</v>
      </c>
      <c r="R18" s="37">
        <f t="shared" si="1"/>
        <v>1.8962799999999998E-2</v>
      </c>
      <c r="S18" s="52">
        <f t="shared" si="5"/>
        <v>9.9391720554351803E-3</v>
      </c>
      <c r="T18" s="103">
        <v>0.01</v>
      </c>
      <c r="U18" s="152">
        <v>0</v>
      </c>
      <c r="V18" s="38">
        <v>0</v>
      </c>
      <c r="W18" s="118">
        <f t="shared" si="6"/>
        <v>0</v>
      </c>
      <c r="X18" s="152">
        <v>1</v>
      </c>
      <c r="Y18" s="38">
        <v>0</v>
      </c>
      <c r="Z18" s="38">
        <f t="shared" si="7"/>
        <v>0.01</v>
      </c>
      <c r="AB18" s="154">
        <f t="shared" si="12"/>
        <v>46934</v>
      </c>
      <c r="AC18" s="32">
        <v>1.8962799999999998E-2</v>
      </c>
      <c r="AD18" s="38">
        <f t="shared" si="2"/>
        <v>0.01</v>
      </c>
      <c r="AE18" s="118">
        <f t="shared" si="8"/>
        <v>2.8962799999999997E-2</v>
      </c>
      <c r="AF18" s="38">
        <f t="shared" si="3"/>
        <v>3.2232293248176572E-2</v>
      </c>
      <c r="AG18" s="38">
        <f t="shared" si="4"/>
        <v>3.3303211927413925E-3</v>
      </c>
      <c r="AH18" s="38">
        <v>0</v>
      </c>
      <c r="AI18" s="118">
        <f t="shared" si="9"/>
        <v>2.8901972055435179E-2</v>
      </c>
      <c r="AJ18" s="32">
        <f t="shared" si="10"/>
        <v>2.8962799999999997E-2</v>
      </c>
    </row>
    <row r="19" spans="1:36" x14ac:dyDescent="0.3">
      <c r="A19" s="56" t="s">
        <v>49</v>
      </c>
      <c r="O19" s="97">
        <f t="shared" si="11"/>
        <v>2029</v>
      </c>
      <c r="P19" s="97">
        <f t="shared" si="11"/>
        <v>6.5</v>
      </c>
      <c r="Q19" s="37">
        <f t="shared" si="0"/>
        <v>2.9934754610061651E-2</v>
      </c>
      <c r="R19" s="37">
        <f t="shared" si="1"/>
        <v>1.9102399999999999E-2</v>
      </c>
      <c r="S19" s="52">
        <f t="shared" si="5"/>
        <v>1.0832354610061653E-2</v>
      </c>
      <c r="T19" s="103">
        <v>1.0500000000000001E-2</v>
      </c>
      <c r="U19" s="152">
        <v>0</v>
      </c>
      <c r="V19" s="38">
        <v>0</v>
      </c>
      <c r="W19" s="118">
        <f t="shared" si="6"/>
        <v>0</v>
      </c>
      <c r="X19" s="152">
        <v>1</v>
      </c>
      <c r="Y19" s="38">
        <v>0</v>
      </c>
      <c r="Z19" s="38">
        <f t="shared" si="7"/>
        <v>1.0500000000000001E-2</v>
      </c>
      <c r="AB19" s="154">
        <f t="shared" si="12"/>
        <v>47299</v>
      </c>
      <c r="AC19" s="32">
        <v>1.9102399999999999E-2</v>
      </c>
      <c r="AD19" s="38">
        <f t="shared" si="2"/>
        <v>1.0500000000000001E-2</v>
      </c>
      <c r="AE19" s="118">
        <f t="shared" si="8"/>
        <v>2.9602400000000001E-2</v>
      </c>
      <c r="AF19" s="38">
        <f t="shared" si="3"/>
        <v>3.3469676792621618E-2</v>
      </c>
      <c r="AG19" s="38">
        <f t="shared" si="4"/>
        <v>3.5349221825599665E-3</v>
      </c>
      <c r="AH19" s="38">
        <v>0</v>
      </c>
      <c r="AI19" s="118">
        <f t="shared" si="9"/>
        <v>2.9934754610061651E-2</v>
      </c>
      <c r="AJ19" s="32">
        <f t="shared" si="10"/>
        <v>2.9602400000000001E-2</v>
      </c>
    </row>
    <row r="20" spans="1:36" x14ac:dyDescent="0.3">
      <c r="A20" s="56" t="s">
        <v>60</v>
      </c>
      <c r="O20" s="97">
        <f t="shared" si="11"/>
        <v>2030</v>
      </c>
      <c r="P20" s="97">
        <f t="shared" si="11"/>
        <v>7.5</v>
      </c>
      <c r="Q20" s="37">
        <f t="shared" si="0"/>
        <v>3.0227791607379914E-2</v>
      </c>
      <c r="R20" s="37">
        <f t="shared" si="1"/>
        <v>1.9265299999999999E-2</v>
      </c>
      <c r="S20" s="52">
        <f t="shared" si="5"/>
        <v>1.0962491607379915E-2</v>
      </c>
      <c r="T20" s="103">
        <v>1.0999999999999999E-2</v>
      </c>
      <c r="U20" s="152">
        <v>0</v>
      </c>
      <c r="V20" s="38">
        <v>0</v>
      </c>
      <c r="W20" s="118">
        <f t="shared" si="6"/>
        <v>0</v>
      </c>
      <c r="X20" s="152">
        <v>1</v>
      </c>
      <c r="Y20" s="38">
        <v>0</v>
      </c>
      <c r="Z20" s="38">
        <f t="shared" si="7"/>
        <v>1.0999999999999999E-2</v>
      </c>
      <c r="AB20" s="154">
        <f t="shared" si="12"/>
        <v>47664</v>
      </c>
      <c r="AC20" s="32">
        <v>1.9265299999999999E-2</v>
      </c>
      <c r="AD20" s="38">
        <f t="shared" si="2"/>
        <v>1.0999999999999999E-2</v>
      </c>
      <c r="AE20" s="118">
        <f t="shared" si="8"/>
        <v>3.0265299999999998E-2</v>
      </c>
      <c r="AF20" s="38">
        <f t="shared" si="3"/>
        <v>3.3742631673812876E-2</v>
      </c>
      <c r="AG20" s="38">
        <f t="shared" si="4"/>
        <v>3.5148400664329615E-3</v>
      </c>
      <c r="AH20" s="38">
        <v>0</v>
      </c>
      <c r="AI20" s="118">
        <f t="shared" si="9"/>
        <v>3.0227791607379914E-2</v>
      </c>
      <c r="AJ20" s="32">
        <f t="shared" si="10"/>
        <v>3.0265299999999998E-2</v>
      </c>
    </row>
    <row r="21" spans="1:36" x14ac:dyDescent="0.3">
      <c r="I21" s="88" t="s">
        <v>149</v>
      </c>
      <c r="O21" s="97">
        <f t="shared" si="11"/>
        <v>2031</v>
      </c>
      <c r="P21" s="97">
        <f t="shared" si="11"/>
        <v>8.5</v>
      </c>
      <c r="Q21" s="37">
        <f t="shared" si="0"/>
        <v>3.1234668254852296E-2</v>
      </c>
      <c r="R21" s="37">
        <f t="shared" si="1"/>
        <v>1.9456000000000001E-2</v>
      </c>
      <c r="S21" s="52">
        <f t="shared" si="5"/>
        <v>1.1778668254852295E-2</v>
      </c>
      <c r="T21" s="103">
        <v>1.15E-2</v>
      </c>
      <c r="U21" s="152">
        <v>0</v>
      </c>
      <c r="V21" s="38">
        <v>0</v>
      </c>
      <c r="W21" s="118">
        <f t="shared" si="6"/>
        <v>0</v>
      </c>
      <c r="X21" s="152">
        <v>1</v>
      </c>
      <c r="Y21" s="38">
        <v>0</v>
      </c>
      <c r="Z21" s="38">
        <f t="shared" si="7"/>
        <v>1.15E-2</v>
      </c>
      <c r="AB21" s="154">
        <f t="shared" si="12"/>
        <v>48029</v>
      </c>
      <c r="AC21" s="32">
        <v>1.9456000000000001E-2</v>
      </c>
      <c r="AD21" s="38">
        <f t="shared" si="2"/>
        <v>1.15E-2</v>
      </c>
      <c r="AE21" s="118">
        <f t="shared" si="8"/>
        <v>3.0956000000000001E-2</v>
      </c>
      <c r="AF21" s="38">
        <f t="shared" si="3"/>
        <v>3.4853273391723644E-2</v>
      </c>
      <c r="AG21" s="38">
        <f t="shared" si="4"/>
        <v>3.618605136871348E-3</v>
      </c>
      <c r="AH21" s="38">
        <v>0</v>
      </c>
      <c r="AI21" s="118">
        <f t="shared" si="9"/>
        <v>3.1234668254852296E-2</v>
      </c>
      <c r="AJ21" s="32">
        <f t="shared" si="10"/>
        <v>3.0956000000000001E-2</v>
      </c>
    </row>
    <row r="22" spans="1:36" x14ac:dyDescent="0.3">
      <c r="A22" s="97" t="s">
        <v>2</v>
      </c>
      <c r="B22" s="97" t="s">
        <v>58</v>
      </c>
      <c r="C22" s="99" t="s">
        <v>54</v>
      </c>
      <c r="D22" s="99"/>
      <c r="E22" s="99"/>
      <c r="F22" s="99"/>
      <c r="G22" s="99"/>
      <c r="H22" s="99"/>
      <c r="I22" s="88" t="s">
        <v>108</v>
      </c>
      <c r="O22" s="97">
        <f t="shared" si="11"/>
        <v>2032</v>
      </c>
      <c r="P22" s="97">
        <f t="shared" si="11"/>
        <v>9.5</v>
      </c>
      <c r="Q22" s="37">
        <f t="shared" si="0"/>
        <v>3.1725493550300604E-2</v>
      </c>
      <c r="R22" s="37">
        <f t="shared" si="1"/>
        <v>1.9675100000000001E-2</v>
      </c>
      <c r="S22" s="52">
        <f t="shared" si="5"/>
        <v>1.2050393550300603E-2</v>
      </c>
      <c r="T22" s="103">
        <v>1.2E-2</v>
      </c>
      <c r="U22" s="152">
        <v>0</v>
      </c>
      <c r="V22" s="38">
        <v>0</v>
      </c>
      <c r="W22" s="118">
        <f t="shared" si="6"/>
        <v>0</v>
      </c>
      <c r="X22" s="152">
        <v>1</v>
      </c>
      <c r="Y22" s="38">
        <v>0</v>
      </c>
      <c r="Z22" s="38">
        <f t="shared" si="7"/>
        <v>1.2E-2</v>
      </c>
      <c r="AB22" s="154">
        <f t="shared" si="12"/>
        <v>48395</v>
      </c>
      <c r="AC22" s="32">
        <v>1.9675100000000001E-2</v>
      </c>
      <c r="AD22" s="38">
        <f t="shared" si="2"/>
        <v>1.2E-2</v>
      </c>
      <c r="AE22" s="118">
        <f t="shared" si="8"/>
        <v>3.1675099999999998E-2</v>
      </c>
      <c r="AF22" s="38">
        <f t="shared" si="3"/>
        <v>3.5568096756935119E-2</v>
      </c>
      <c r="AG22" s="38">
        <f t="shared" si="4"/>
        <v>3.842603206634515E-3</v>
      </c>
      <c r="AH22" s="38">
        <v>0</v>
      </c>
      <c r="AI22" s="118">
        <f t="shared" si="9"/>
        <v>3.1725493550300604E-2</v>
      </c>
      <c r="AJ22" s="32">
        <f t="shared" si="10"/>
        <v>3.1675099999999998E-2</v>
      </c>
    </row>
    <row r="23" spans="1:36" x14ac:dyDescent="0.3">
      <c r="A23" s="80" t="s">
        <v>10</v>
      </c>
      <c r="B23" s="80" t="s">
        <v>59</v>
      </c>
      <c r="C23" s="30" t="s">
        <v>55</v>
      </c>
      <c r="D23" s="30" t="s">
        <v>299</v>
      </c>
      <c r="E23" s="30" t="s">
        <v>34</v>
      </c>
      <c r="F23" s="30" t="s">
        <v>35</v>
      </c>
      <c r="G23" s="30" t="s">
        <v>33</v>
      </c>
      <c r="H23" s="30" t="s">
        <v>56</v>
      </c>
      <c r="I23" s="30" t="s">
        <v>41</v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1:36" x14ac:dyDescent="0.3">
      <c r="A24" s="97">
        <f>YEAR(ValDate)+1</f>
        <v>2023</v>
      </c>
      <c r="B24" s="97">
        <v>0.5</v>
      </c>
      <c r="C24" s="32">
        <v>1.78923E-2</v>
      </c>
      <c r="D24" s="32">
        <v>1.9684526324272155E-2</v>
      </c>
      <c r="E24" s="32">
        <v>2.277311384677887E-2</v>
      </c>
      <c r="F24" s="32">
        <v>2.2450587153434759E-2</v>
      </c>
      <c r="G24" s="32">
        <v>3.0870154500007626E-2</v>
      </c>
      <c r="H24" s="32">
        <v>2.8478220105171207E-2</v>
      </c>
      <c r="I24" s="33">
        <f t="shared" ref="I24:I33" si="13">SUMPRODUCT($C$13:$H$13,C24:H24)</f>
        <v>2.694676494598389E-2</v>
      </c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x14ac:dyDescent="0.3">
      <c r="A25" s="97">
        <f>+A24+1</f>
        <v>2024</v>
      </c>
      <c r="B25" s="97">
        <f>+B24+1</f>
        <v>1.5</v>
      </c>
      <c r="C25" s="32">
        <v>1.8510928750038153E-2</v>
      </c>
      <c r="D25" s="32">
        <v>2.068577110767365E-2</v>
      </c>
      <c r="E25" s="32">
        <v>2.2844144701957707E-2</v>
      </c>
      <c r="F25" s="32">
        <v>2.4880537390708928E-2</v>
      </c>
      <c r="G25" s="32">
        <v>2.8155633807182317E-2</v>
      </c>
      <c r="H25" s="32">
        <v>3.1156161427497862E-2</v>
      </c>
      <c r="I25" s="33">
        <f t="shared" si="13"/>
        <v>2.7810757458209996E-2</v>
      </c>
    </row>
    <row r="26" spans="1:36" x14ac:dyDescent="0.3">
      <c r="A26" s="97">
        <f t="shared" ref="A26:B33" si="14">+A25+1</f>
        <v>2025</v>
      </c>
      <c r="B26" s="97">
        <f t="shared" si="14"/>
        <v>2.5</v>
      </c>
      <c r="C26" s="32">
        <v>1.887854635715485E-2</v>
      </c>
      <c r="D26" s="32">
        <v>2.2073361277580264E-2</v>
      </c>
      <c r="E26" s="32">
        <v>2.2823175787925719E-2</v>
      </c>
      <c r="F26" s="32">
        <v>2.6128610968589785E-2</v>
      </c>
      <c r="G26" s="32">
        <v>2.9576209187507623E-2</v>
      </c>
      <c r="H26" s="32">
        <v>3.2407507300376892E-2</v>
      </c>
      <c r="I26" s="33">
        <f t="shared" si="13"/>
        <v>2.8994063019752506E-2</v>
      </c>
      <c r="O26" s="56" t="s">
        <v>13</v>
      </c>
      <c r="AB26" s="56" t="s">
        <v>13</v>
      </c>
    </row>
    <row r="27" spans="1:36" x14ac:dyDescent="0.3">
      <c r="A27" s="97">
        <f t="shared" si="14"/>
        <v>2026</v>
      </c>
      <c r="B27" s="97">
        <f t="shared" si="14"/>
        <v>3.5</v>
      </c>
      <c r="C27" s="32">
        <v>1.9069817662239075E-2</v>
      </c>
      <c r="D27" s="32">
        <v>2.3501607775688171E-2</v>
      </c>
      <c r="E27" s="32">
        <v>2.3600909113883971E-2</v>
      </c>
      <c r="F27" s="32">
        <v>2.7905032038688663E-2</v>
      </c>
      <c r="G27" s="32">
        <v>3.050621449947357E-2</v>
      </c>
      <c r="H27" s="32">
        <v>3.5241684317588812E-2</v>
      </c>
      <c r="I27" s="33">
        <f t="shared" si="13"/>
        <v>3.0813820362091068E-2</v>
      </c>
      <c r="O27" s="115" t="s">
        <v>279</v>
      </c>
      <c r="AB27" s="115" t="s">
        <v>173</v>
      </c>
    </row>
    <row r="28" spans="1:36" x14ac:dyDescent="0.3">
      <c r="A28" s="97">
        <f t="shared" si="14"/>
        <v>2027</v>
      </c>
      <c r="B28" s="97">
        <f t="shared" si="14"/>
        <v>4.5</v>
      </c>
      <c r="C28" s="32">
        <v>1.9336262345314031E-2</v>
      </c>
      <c r="D28" s="32">
        <v>2.4338695406913757E-2</v>
      </c>
      <c r="E28" s="32">
        <v>2.5259456038475039E-2</v>
      </c>
      <c r="F28" s="32">
        <v>2.9211685061454769E-2</v>
      </c>
      <c r="G28" s="32">
        <v>3.1130591034889223E-2</v>
      </c>
      <c r="H28" s="32">
        <v>3.6214014887809759E-2</v>
      </c>
      <c r="I28" s="33">
        <f t="shared" si="13"/>
        <v>3.1844093561172487E-2</v>
      </c>
      <c r="O28" s="115" t="s">
        <v>164</v>
      </c>
      <c r="AB28" s="115" t="s">
        <v>276</v>
      </c>
    </row>
    <row r="29" spans="1:36" x14ac:dyDescent="0.3">
      <c r="A29" s="97">
        <f t="shared" si="14"/>
        <v>2028</v>
      </c>
      <c r="B29" s="97">
        <f t="shared" si="14"/>
        <v>5.5</v>
      </c>
      <c r="C29" s="32">
        <v>1.9130775332450872E-2</v>
      </c>
      <c r="D29" s="32">
        <v>2.5446704030036921E-2</v>
      </c>
      <c r="E29" s="32">
        <v>2.6704743504524231E-2</v>
      </c>
      <c r="F29" s="32">
        <v>2.8543367981910706E-2</v>
      </c>
      <c r="G29" s="32">
        <v>3.1235900521278379E-2</v>
      </c>
      <c r="H29" s="32">
        <v>3.7401917576789859E-2</v>
      </c>
      <c r="I29" s="33">
        <f t="shared" si="13"/>
        <v>3.2232293248176572E-2</v>
      </c>
      <c r="O29" s="115" t="s">
        <v>165</v>
      </c>
      <c r="AB29" s="115" t="s">
        <v>174</v>
      </c>
    </row>
    <row r="30" spans="1:36" x14ac:dyDescent="0.3">
      <c r="A30" s="97">
        <f t="shared" si="14"/>
        <v>2029</v>
      </c>
      <c r="B30" s="97">
        <f t="shared" si="14"/>
        <v>6.5</v>
      </c>
      <c r="C30" s="32">
        <v>1.9396647810935978E-2</v>
      </c>
      <c r="D30" s="32">
        <v>2.6531580090522765E-2</v>
      </c>
      <c r="E30" s="32">
        <v>2.6204648613929755E-2</v>
      </c>
      <c r="F30" s="32">
        <v>2.8980484604835512E-2</v>
      </c>
      <c r="G30" s="32">
        <v>3.4128764271736153E-2</v>
      </c>
      <c r="H30" s="32">
        <v>3.840191066265107E-2</v>
      </c>
      <c r="I30" s="33">
        <f t="shared" si="13"/>
        <v>3.3469676792621618E-2</v>
      </c>
      <c r="O30" s="115" t="s">
        <v>166</v>
      </c>
      <c r="AB30" s="115" t="s">
        <v>278</v>
      </c>
    </row>
    <row r="31" spans="1:36" x14ac:dyDescent="0.3">
      <c r="A31" s="97">
        <f t="shared" si="14"/>
        <v>2030</v>
      </c>
      <c r="B31" s="97">
        <f t="shared" si="14"/>
        <v>7.5</v>
      </c>
      <c r="C31" s="32">
        <v>1.9353601336479193E-2</v>
      </c>
      <c r="D31" s="32">
        <v>2.7337244153022761E-2</v>
      </c>
      <c r="E31" s="32">
        <v>2.8334626555442811E-2</v>
      </c>
      <c r="F31" s="32">
        <v>2.9428628087043759E-2</v>
      </c>
      <c r="G31" s="32">
        <v>3.3538094162940998E-2</v>
      </c>
      <c r="H31" s="32">
        <v>3.8748094439506539E-2</v>
      </c>
      <c r="I31" s="33">
        <f t="shared" si="13"/>
        <v>3.3742631673812876E-2</v>
      </c>
      <c r="O31" s="115" t="s">
        <v>167</v>
      </c>
      <c r="AB31" s="115" t="s">
        <v>277</v>
      </c>
    </row>
    <row r="32" spans="1:36" x14ac:dyDescent="0.3">
      <c r="A32" s="97">
        <f t="shared" si="14"/>
        <v>2031</v>
      </c>
      <c r="B32" s="97">
        <f t="shared" si="14"/>
        <v>8.5</v>
      </c>
      <c r="C32" s="32">
        <v>1.9838258624076854E-2</v>
      </c>
      <c r="D32" s="32">
        <v>2.8054013848304752E-2</v>
      </c>
      <c r="E32" s="32">
        <v>2.8504088521003727E-2</v>
      </c>
      <c r="F32" s="85">
        <v>3.0212971568107604E-2</v>
      </c>
      <c r="G32" s="85">
        <v>3.3848473429679879E-2</v>
      </c>
      <c r="H32" s="32">
        <v>4.1002002358436596E-2</v>
      </c>
      <c r="I32" s="33">
        <f t="shared" si="13"/>
        <v>3.4853273391723644E-2</v>
      </c>
      <c r="O32" s="115" t="s">
        <v>168</v>
      </c>
      <c r="AB32" s="115" t="s">
        <v>175</v>
      </c>
    </row>
    <row r="33" spans="1:28" x14ac:dyDescent="0.3">
      <c r="A33" s="97">
        <f t="shared" si="14"/>
        <v>2032</v>
      </c>
      <c r="B33" s="97">
        <f t="shared" si="14"/>
        <v>9.5</v>
      </c>
      <c r="C33" s="32">
        <v>2.0092156529426579E-2</v>
      </c>
      <c r="D33" s="32">
        <v>2.8248932957649228E-2</v>
      </c>
      <c r="E33" s="86">
        <v>2.8736349940299992E-2</v>
      </c>
      <c r="F33" s="32">
        <v>3.0633071064949034E-2</v>
      </c>
      <c r="G33" s="32">
        <v>3.5024145245552057E-2</v>
      </c>
      <c r="H33" s="32">
        <v>4.1708013415336614E-2</v>
      </c>
      <c r="I33" s="33">
        <f t="shared" si="13"/>
        <v>3.5568096756935119E-2</v>
      </c>
      <c r="O33" s="115" t="s">
        <v>169</v>
      </c>
      <c r="AB33" s="115" t="s">
        <v>176</v>
      </c>
    </row>
    <row r="34" spans="1:28" x14ac:dyDescent="0.3">
      <c r="A34" s="39"/>
      <c r="B34" s="39"/>
      <c r="C34" s="155"/>
      <c r="D34" s="155"/>
      <c r="E34" s="155"/>
      <c r="F34" s="155"/>
      <c r="G34" s="155"/>
      <c r="H34" s="155"/>
      <c r="I34" s="155"/>
      <c r="O34" s="115" t="s">
        <v>170</v>
      </c>
      <c r="AB34" s="115" t="s">
        <v>170</v>
      </c>
    </row>
    <row r="35" spans="1:28" x14ac:dyDescent="0.3">
      <c r="O35" s="115" t="s">
        <v>171</v>
      </c>
    </row>
    <row r="36" spans="1:28" x14ac:dyDescent="0.3">
      <c r="O36" s="115" t="s">
        <v>172</v>
      </c>
      <c r="P36" s="37"/>
      <c r="Q36" s="37"/>
      <c r="AA36" s="31"/>
      <c r="AB36" s="41" t="s">
        <v>177</v>
      </c>
    </row>
    <row r="37" spans="1:28" x14ac:dyDescent="0.3">
      <c r="B37" s="41" t="s">
        <v>94</v>
      </c>
      <c r="O37" s="42"/>
      <c r="P37" s="37"/>
      <c r="Q37" s="37"/>
    </row>
    <row r="38" spans="1:28" x14ac:dyDescent="0.3">
      <c r="H38" s="88" t="s">
        <v>102</v>
      </c>
      <c r="I38" s="88" t="s">
        <v>101</v>
      </c>
      <c r="O38" s="37"/>
      <c r="P38" s="37"/>
    </row>
    <row r="39" spans="1:28" x14ac:dyDescent="0.3">
      <c r="C39" s="88" t="s">
        <v>2</v>
      </c>
      <c r="D39" s="88" t="s">
        <v>97</v>
      </c>
      <c r="E39" s="88" t="s">
        <v>98</v>
      </c>
      <c r="F39" s="88" t="s">
        <v>100</v>
      </c>
      <c r="G39" s="88" t="s">
        <v>72</v>
      </c>
      <c r="H39" s="88" t="s">
        <v>100</v>
      </c>
      <c r="I39" s="88" t="s">
        <v>100</v>
      </c>
      <c r="J39" s="88" t="s">
        <v>221</v>
      </c>
      <c r="K39" s="88"/>
      <c r="N39" s="37"/>
      <c r="O39" s="37"/>
    </row>
    <row r="40" spans="1:28" x14ac:dyDescent="0.3">
      <c r="B40" s="80" t="s">
        <v>95</v>
      </c>
      <c r="C40" s="30" t="s">
        <v>36</v>
      </c>
      <c r="D40" s="30" t="s">
        <v>89</v>
      </c>
      <c r="E40" s="30" t="s">
        <v>99</v>
      </c>
      <c r="F40" s="30" t="s">
        <v>99</v>
      </c>
      <c r="G40" s="30" t="s">
        <v>36</v>
      </c>
      <c r="H40" s="30" t="s">
        <v>27</v>
      </c>
      <c r="I40" s="30" t="s">
        <v>27</v>
      </c>
      <c r="J40" s="30" t="s">
        <v>103</v>
      </c>
      <c r="K40" s="28"/>
      <c r="N40" s="37"/>
      <c r="O40" s="37"/>
    </row>
    <row r="41" spans="1:28" x14ac:dyDescent="0.3">
      <c r="B41" s="89" t="s">
        <v>33</v>
      </c>
      <c r="C41" s="90">
        <v>48395</v>
      </c>
      <c r="D41" s="91">
        <v>2.5000000000000001E-2</v>
      </c>
      <c r="E41" s="92">
        <v>100000000</v>
      </c>
      <c r="F41" s="92">
        <v>97437152.153371006</v>
      </c>
      <c r="G41" s="90">
        <v>44925</v>
      </c>
      <c r="H41" s="38">
        <f>YIELD(G41,C41,D41,F41/E41*100,100,2)</f>
        <v>2.8092503137591127E-2</v>
      </c>
      <c r="I41" s="38">
        <f>(1+H41/2)^2-1</f>
        <v>2.8289800320725034E-2</v>
      </c>
      <c r="J41" s="81">
        <f>DURATION(G41,C41,D41,I41,2)/(1+I41)</f>
        <v>8.1590606332888651</v>
      </c>
      <c r="K41" s="81"/>
      <c r="M41" s="42"/>
      <c r="N41" s="37"/>
      <c r="O41" s="37"/>
    </row>
    <row r="42" spans="1:28" x14ac:dyDescent="0.3">
      <c r="B42" s="89" t="s">
        <v>96</v>
      </c>
      <c r="C42" s="90">
        <v>48395</v>
      </c>
      <c r="D42" s="91">
        <v>6.0999999999999999E-2</v>
      </c>
      <c r="E42" s="92">
        <v>100000000</v>
      </c>
      <c r="F42" s="92">
        <v>126564836.704265</v>
      </c>
      <c r="G42" s="90">
        <v>44925</v>
      </c>
      <c r="H42" s="38">
        <f>YIELD(G42,C42,D42,F42/E42*100,100,2)</f>
        <v>2.8832858929802634E-2</v>
      </c>
      <c r="I42" s="38">
        <f>(1+H42/2)^2-1</f>
        <v>2.9040692368319299E-2</v>
      </c>
      <c r="J42" s="81">
        <f>DURATION(G42,C42,D42,I42,2)/(1+I42)</f>
        <v>7.2321778593358017</v>
      </c>
      <c r="K42" s="81"/>
      <c r="N42" s="37"/>
      <c r="O42" s="37"/>
    </row>
    <row r="43" spans="1:28" x14ac:dyDescent="0.3">
      <c r="B43" s="93"/>
      <c r="C43" s="94"/>
      <c r="D43" s="39"/>
      <c r="E43" s="95"/>
      <c r="F43" s="95">
        <f>SUM(F41:F42)</f>
        <v>224001988.857636</v>
      </c>
      <c r="G43" s="39"/>
      <c r="H43" s="96">
        <f>SUMPRODUCT(F41:F42,H41:H42,J41:J42)/SUMPRODUCT(F41:F42,J41:J42)</f>
        <v>2.8488727746908287E-2</v>
      </c>
      <c r="I43" s="96">
        <f>SUMPRODUCT(F41:F42,I41:I42,J41:J42)/SUMPRODUCT(F41:F42,J41:J42)</f>
        <v>2.869166373737863E-2</v>
      </c>
      <c r="J43" s="87">
        <f>SUMPRODUCT(F41:F42,J41:J42)/F43</f>
        <v>7.6353565022334839</v>
      </c>
      <c r="K43" s="82"/>
      <c r="N43" s="37"/>
      <c r="O43" s="37"/>
    </row>
    <row r="44" spans="1:28" x14ac:dyDescent="0.3">
      <c r="B44" s="97"/>
      <c r="C44" s="98"/>
      <c r="I44" s="156"/>
      <c r="N44" s="37"/>
      <c r="O44" s="37"/>
    </row>
    <row r="45" spans="1:28" x14ac:dyDescent="0.3">
      <c r="F45" s="172">
        <f>PRICE(G41,C41,D41,I41,100,2)</f>
        <v>97.276185911625504</v>
      </c>
      <c r="N45" s="37"/>
      <c r="O45" s="37"/>
    </row>
    <row r="46" spans="1:28" x14ac:dyDescent="0.3">
      <c r="F46" s="79"/>
      <c r="N46" s="37"/>
      <c r="O46" s="37"/>
    </row>
    <row r="47" spans="1:28" x14ac:dyDescent="0.3">
      <c r="A47" s="56" t="s">
        <v>13</v>
      </c>
      <c r="E47" s="37"/>
      <c r="N47" s="37"/>
      <c r="O47" s="37"/>
    </row>
    <row r="48" spans="1:28" x14ac:dyDescent="0.3">
      <c r="A48" s="171" t="s">
        <v>301</v>
      </c>
      <c r="E48" s="37"/>
      <c r="N48" s="37"/>
      <c r="O48" s="37"/>
    </row>
    <row r="49" spans="1:15" x14ac:dyDescent="0.3">
      <c r="E49" s="37"/>
      <c r="N49" s="37"/>
      <c r="O49" s="37"/>
    </row>
    <row r="50" spans="1:15" x14ac:dyDescent="0.3">
      <c r="A50" s="56"/>
      <c r="E50" s="37"/>
      <c r="N50" s="37"/>
      <c r="O50" s="37"/>
    </row>
    <row r="51" spans="1:15" x14ac:dyDescent="0.3">
      <c r="N51" s="37"/>
      <c r="O51" s="37"/>
    </row>
    <row r="52" spans="1:15" x14ac:dyDescent="0.3">
      <c r="A52" s="56" t="s">
        <v>52</v>
      </c>
      <c r="N52" s="37"/>
      <c r="O52" s="37"/>
    </row>
    <row r="53" spans="1:15" x14ac:dyDescent="0.3">
      <c r="A53" s="56" t="s">
        <v>93</v>
      </c>
      <c r="N53" s="37"/>
      <c r="O53" s="37"/>
    </row>
    <row r="54" spans="1:15" x14ac:dyDescent="0.3">
      <c r="N54" s="37"/>
      <c r="O54" s="37"/>
    </row>
    <row r="55" spans="1:15" x14ac:dyDescent="0.3">
      <c r="A55" s="97"/>
      <c r="B55" s="97"/>
      <c r="C55" s="99" t="s">
        <v>54</v>
      </c>
      <c r="D55" s="99"/>
      <c r="E55" s="99"/>
      <c r="F55" s="99"/>
      <c r="G55" s="99"/>
      <c r="H55" s="99"/>
      <c r="N55" s="37"/>
      <c r="O55" s="37"/>
    </row>
    <row r="56" spans="1:15" x14ac:dyDescent="0.3">
      <c r="A56" s="80" t="s">
        <v>10</v>
      </c>
      <c r="B56" s="80"/>
      <c r="C56" s="30" t="s">
        <v>55</v>
      </c>
      <c r="D56" s="30" t="s">
        <v>299</v>
      </c>
      <c r="E56" s="30" t="s">
        <v>34</v>
      </c>
      <c r="F56" s="30" t="s">
        <v>35</v>
      </c>
      <c r="G56" s="30" t="s">
        <v>33</v>
      </c>
      <c r="H56" s="30" t="s">
        <v>56</v>
      </c>
      <c r="N56" s="37"/>
      <c r="O56" s="37"/>
    </row>
    <row r="57" spans="1:15" x14ac:dyDescent="0.3">
      <c r="A57" s="97">
        <v>1</v>
      </c>
      <c r="B57" s="97"/>
      <c r="C57" s="32">
        <v>0</v>
      </c>
      <c r="D57" s="32">
        <v>1.5117666833416377E-4</v>
      </c>
      <c r="E57" s="32">
        <v>0</v>
      </c>
      <c r="F57" s="32">
        <v>2.05E-4</v>
      </c>
      <c r="G57" s="32">
        <v>5.6499999999999996E-4</v>
      </c>
      <c r="H57" s="32">
        <v>1.6949999999999999E-3</v>
      </c>
      <c r="N57" s="37"/>
      <c r="O57" s="37"/>
    </row>
    <row r="58" spans="1:15" x14ac:dyDescent="0.3">
      <c r="A58" s="97">
        <f>+A57+1</f>
        <v>2</v>
      </c>
      <c r="B58" s="97"/>
      <c r="C58" s="32">
        <v>0</v>
      </c>
      <c r="D58" s="32">
        <v>4.9589182084508975E-4</v>
      </c>
      <c r="E58" s="32">
        <v>2.05E-4</v>
      </c>
      <c r="F58" s="32">
        <v>5.9500000000000004E-4</v>
      </c>
      <c r="G58" s="32">
        <v>1.495E-3</v>
      </c>
      <c r="H58" s="32">
        <v>4.6499999999999996E-3</v>
      </c>
      <c r="N58" s="37"/>
      <c r="O58" s="37"/>
    </row>
    <row r="59" spans="1:15" x14ac:dyDescent="0.3">
      <c r="A59" s="97">
        <f t="shared" ref="A59:A66" si="15">+A58+1</f>
        <v>3</v>
      </c>
      <c r="B59" s="97"/>
      <c r="C59" s="32">
        <v>0</v>
      </c>
      <c r="D59" s="32">
        <v>1.0440297678685445E-3</v>
      </c>
      <c r="E59" s="32">
        <v>7.0500000000000001E-4</v>
      </c>
      <c r="F59" s="32">
        <v>1.145E-3</v>
      </c>
      <c r="G59" s="32">
        <v>2.8700000000000002E-3</v>
      </c>
      <c r="H59" s="32">
        <v>8.0299999999999989E-3</v>
      </c>
      <c r="N59" s="37"/>
      <c r="O59" s="37"/>
    </row>
    <row r="60" spans="1:15" x14ac:dyDescent="0.3">
      <c r="A60" s="97">
        <f t="shared" si="15"/>
        <v>4</v>
      </c>
      <c r="B60" s="97"/>
      <c r="C60" s="32">
        <v>0</v>
      </c>
      <c r="D60" s="32">
        <v>1.8804743117793706E-3</v>
      </c>
      <c r="E60" s="32">
        <v>1.3500000000000001E-3</v>
      </c>
      <c r="F60" s="32">
        <v>2.0449999999999999E-3</v>
      </c>
      <c r="G60" s="32">
        <v>4.4400000000000004E-3</v>
      </c>
      <c r="H60" s="32">
        <v>1.208E-2</v>
      </c>
      <c r="N60" s="37"/>
      <c r="O60" s="37"/>
    </row>
    <row r="61" spans="1:15" x14ac:dyDescent="0.3">
      <c r="A61" s="97">
        <f t="shared" si="15"/>
        <v>5</v>
      </c>
      <c r="B61" s="97"/>
      <c r="C61" s="32">
        <v>0</v>
      </c>
      <c r="D61" s="32">
        <v>2.8547454610883057E-3</v>
      </c>
      <c r="E61" s="32">
        <v>2.1700000000000001E-3</v>
      </c>
      <c r="F61" s="32">
        <v>3.065E-3</v>
      </c>
      <c r="G61" s="32">
        <v>6.2550000000000001E-3</v>
      </c>
      <c r="H61" s="32">
        <v>1.6230000000000001E-2</v>
      </c>
      <c r="N61" s="37"/>
      <c r="O61" s="37"/>
    </row>
    <row r="62" spans="1:15" x14ac:dyDescent="0.3">
      <c r="A62" s="97">
        <f t="shared" si="15"/>
        <v>6</v>
      </c>
      <c r="B62" s="97"/>
      <c r="C62" s="32">
        <v>0</v>
      </c>
      <c r="D62" s="32">
        <v>3.8778521120004321E-3</v>
      </c>
      <c r="E62" s="32">
        <v>2.98E-3</v>
      </c>
      <c r="F62" s="32">
        <v>4.1549999999999998E-3</v>
      </c>
      <c r="G62" s="32">
        <v>8.2699999999999996E-3</v>
      </c>
      <c r="H62" s="32">
        <v>2.0420000000000001E-2</v>
      </c>
      <c r="N62" s="37"/>
      <c r="O62" s="37"/>
    </row>
    <row r="63" spans="1:15" x14ac:dyDescent="0.3">
      <c r="A63" s="97">
        <f t="shared" si="15"/>
        <v>7</v>
      </c>
      <c r="B63" s="97"/>
      <c r="C63" s="32">
        <v>0</v>
      </c>
      <c r="D63" s="32">
        <v>4.8257799733797844E-3</v>
      </c>
      <c r="E63" s="32">
        <v>3.5050000000000003E-3</v>
      </c>
      <c r="F63" s="32">
        <v>5.2499999999999995E-3</v>
      </c>
      <c r="G63" s="32">
        <v>1.0534999999999999E-2</v>
      </c>
      <c r="H63" s="32">
        <v>2.4260000000000004E-2</v>
      </c>
      <c r="N63" s="37"/>
      <c r="O63" s="37"/>
    </row>
    <row r="64" spans="1:15" x14ac:dyDescent="0.3">
      <c r="A64" s="97">
        <f t="shared" si="15"/>
        <v>8</v>
      </c>
      <c r="B64" s="97"/>
      <c r="C64" s="32">
        <v>0</v>
      </c>
      <c r="D64" s="32">
        <v>5.6822663370386575E-3</v>
      </c>
      <c r="E64" s="32">
        <v>4.2450000000000005E-3</v>
      </c>
      <c r="F64" s="32">
        <v>6.1250000000000002E-3</v>
      </c>
      <c r="G64" s="32">
        <v>1.2754999999999999E-2</v>
      </c>
      <c r="H64" s="32">
        <v>2.8205000000000001E-2</v>
      </c>
      <c r="N64" s="37"/>
      <c r="O64" s="37"/>
    </row>
    <row r="65" spans="1:15" x14ac:dyDescent="0.3">
      <c r="A65" s="97">
        <f t="shared" si="15"/>
        <v>9</v>
      </c>
      <c r="B65" s="97"/>
      <c r="C65" s="32">
        <v>0</v>
      </c>
      <c r="D65" s="32">
        <v>6.4381472641580782E-3</v>
      </c>
      <c r="E65" s="32">
        <v>4.8000000000000004E-3</v>
      </c>
      <c r="F65" s="32">
        <v>6.9300000000000004E-3</v>
      </c>
      <c r="G65" s="32">
        <v>1.508E-2</v>
      </c>
      <c r="H65" s="32">
        <v>3.2340000000000001E-2</v>
      </c>
      <c r="N65" s="37"/>
      <c r="O65" s="37"/>
    </row>
    <row r="66" spans="1:15" x14ac:dyDescent="0.3">
      <c r="A66" s="97">
        <f t="shared" si="15"/>
        <v>10</v>
      </c>
      <c r="B66" s="97"/>
      <c r="C66" s="32">
        <v>0</v>
      </c>
      <c r="D66" s="32">
        <v>7.1920071059510208E-3</v>
      </c>
      <c r="E66" s="32">
        <v>5.4300000000000008E-3</v>
      </c>
      <c r="F66" s="32">
        <v>7.7000000000000002E-3</v>
      </c>
      <c r="G66" s="32">
        <v>1.7444999999999999E-2</v>
      </c>
      <c r="H66" s="32">
        <v>3.6644999999999997E-2</v>
      </c>
      <c r="N66" s="37"/>
      <c r="O66" s="37"/>
    </row>
    <row r="67" spans="1:15" x14ac:dyDescent="0.3">
      <c r="A67" s="39"/>
      <c r="B67" s="39"/>
      <c r="C67" s="96"/>
      <c r="D67" s="96"/>
      <c r="E67" s="96"/>
      <c r="F67" s="96"/>
      <c r="G67" s="96"/>
      <c r="H67" s="96"/>
      <c r="N67" s="37"/>
      <c r="O67" s="37"/>
    </row>
    <row r="68" spans="1:15" x14ac:dyDescent="0.3">
      <c r="N68" s="37"/>
      <c r="O68" s="37"/>
    </row>
    <row r="69" spans="1:15" x14ac:dyDescent="0.3">
      <c r="A69" s="157" t="s">
        <v>13</v>
      </c>
      <c r="N69" s="37"/>
      <c r="O69" s="37"/>
    </row>
    <row r="70" spans="1:15" x14ac:dyDescent="0.3">
      <c r="A70" s="117" t="s">
        <v>205</v>
      </c>
      <c r="N70" s="37"/>
      <c r="O70" s="37"/>
    </row>
    <row r="71" spans="1:15" x14ac:dyDescent="0.3">
      <c r="A71" s="117" t="s">
        <v>206</v>
      </c>
      <c r="N71" s="37"/>
      <c r="O71" s="37"/>
    </row>
    <row r="72" spans="1:15" x14ac:dyDescent="0.3">
      <c r="A72" s="41" t="s">
        <v>198</v>
      </c>
    </row>
    <row r="75" spans="1:15" x14ac:dyDescent="0.3">
      <c r="A75" s="56" t="s">
        <v>150</v>
      </c>
    </row>
    <row r="76" spans="1:15" x14ac:dyDescent="0.3">
      <c r="A76" s="78" t="s">
        <v>196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</row>
    <row r="77" spans="1:15" x14ac:dyDescent="0.3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5" x14ac:dyDescent="0.3">
      <c r="A78" s="97"/>
      <c r="B78" s="97"/>
      <c r="C78" s="99" t="s">
        <v>54</v>
      </c>
      <c r="D78" s="99"/>
      <c r="E78" s="99"/>
      <c r="F78" s="99"/>
      <c r="G78" s="99"/>
      <c r="H78" s="99"/>
      <c r="I78" s="44"/>
      <c r="J78" s="44"/>
      <c r="K78" s="44"/>
      <c r="L78" s="44"/>
      <c r="M78" s="44"/>
    </row>
    <row r="79" spans="1:15" x14ac:dyDescent="0.3">
      <c r="A79" s="80" t="s">
        <v>10</v>
      </c>
      <c r="B79" s="80"/>
      <c r="C79" s="30" t="s">
        <v>55</v>
      </c>
      <c r="D79" s="30" t="s">
        <v>299</v>
      </c>
      <c r="E79" s="30" t="s">
        <v>34</v>
      </c>
      <c r="F79" s="30" t="s">
        <v>35</v>
      </c>
      <c r="G79" s="30" t="s">
        <v>33</v>
      </c>
      <c r="H79" s="30" t="s">
        <v>56</v>
      </c>
      <c r="I79" s="44"/>
      <c r="J79" s="44"/>
      <c r="K79" s="44"/>
      <c r="L79" s="44"/>
      <c r="M79" s="44"/>
    </row>
    <row r="80" spans="1:15" x14ac:dyDescent="0.3">
      <c r="A80" s="97">
        <v>1</v>
      </c>
      <c r="B80" s="97"/>
      <c r="C80" s="32">
        <v>0</v>
      </c>
      <c r="D80" s="32">
        <v>4.4439163867565049E-4</v>
      </c>
      <c r="E80" s="32">
        <v>4.4621967879078707E-4</v>
      </c>
      <c r="F80" s="32">
        <v>4.2546040926745002E-4</v>
      </c>
      <c r="G80" s="32">
        <v>1.2711603142548796E-3</v>
      </c>
      <c r="H80" s="32">
        <v>3.8079976962412465E-3</v>
      </c>
      <c r="I80" s="44"/>
      <c r="J80" s="44"/>
      <c r="K80" s="44"/>
      <c r="L80" s="44"/>
      <c r="M80" s="44"/>
    </row>
    <row r="81" spans="1:14" x14ac:dyDescent="0.3">
      <c r="A81" s="97">
        <f>+A80+1</f>
        <v>2</v>
      </c>
      <c r="B81" s="97"/>
      <c r="C81" s="32">
        <v>0</v>
      </c>
      <c r="D81" s="32">
        <v>1.0963998151722828E-3</v>
      </c>
      <c r="E81" s="32">
        <v>4.5193489936027411E-4</v>
      </c>
      <c r="F81" s="32">
        <v>1.3147463740944023E-3</v>
      </c>
      <c r="G81" s="32">
        <v>3.365669343455805E-3</v>
      </c>
      <c r="H81" s="32">
        <v>9.5688597728990268E-3</v>
      </c>
      <c r="I81" s="44"/>
      <c r="J81" s="44"/>
      <c r="K81" s="44"/>
      <c r="L81" s="44"/>
      <c r="M81" s="44"/>
      <c r="N81" s="44"/>
    </row>
    <row r="82" spans="1:14" x14ac:dyDescent="0.3">
      <c r="A82" s="97">
        <f t="shared" ref="A82:A89" si="16">+A81+1</f>
        <v>3</v>
      </c>
      <c r="B82" s="97"/>
      <c r="C82" s="32">
        <v>0</v>
      </c>
      <c r="D82" s="32">
        <v>2.3532636253393753E-3</v>
      </c>
      <c r="E82" s="32">
        <v>1.5909044113317442E-3</v>
      </c>
      <c r="F82" s="32">
        <v>2.5848941820924239E-3</v>
      </c>
      <c r="G82" s="32">
        <v>6.2506615810968471E-3</v>
      </c>
      <c r="H82" s="32">
        <v>1.5445350540118708E-2</v>
      </c>
      <c r="I82" s="44"/>
      <c r="J82" s="44"/>
      <c r="K82" s="44"/>
      <c r="L82" s="44"/>
      <c r="M82" s="44"/>
    </row>
    <row r="83" spans="1:14" x14ac:dyDescent="0.3">
      <c r="A83" s="97">
        <f t="shared" si="16"/>
        <v>4</v>
      </c>
      <c r="B83" s="97"/>
      <c r="C83" s="32">
        <v>0</v>
      </c>
      <c r="D83" s="32">
        <v>4.2508852274774616E-3</v>
      </c>
      <c r="E83" s="32">
        <v>3.0575208186027557E-3</v>
      </c>
      <c r="F83" s="32">
        <v>4.6315778326241749E-3</v>
      </c>
      <c r="G83" s="32">
        <v>9.527773060855246E-3</v>
      </c>
      <c r="H83" s="32">
        <v>2.2648523975402655E-2</v>
      </c>
      <c r="I83" s="44"/>
      <c r="J83" s="44"/>
      <c r="K83" s="44"/>
      <c r="L83" s="44"/>
      <c r="M83" s="44"/>
    </row>
    <row r="84" spans="1:14" x14ac:dyDescent="0.3">
      <c r="A84" s="97">
        <f t="shared" si="16"/>
        <v>5</v>
      </c>
      <c r="B84" s="97"/>
      <c r="C84" s="32">
        <v>0</v>
      </c>
      <c r="D84" s="32">
        <v>6.3703144554743078E-3</v>
      </c>
      <c r="E84" s="32">
        <v>4.8545257094610821E-3</v>
      </c>
      <c r="F84" s="32">
        <v>6.8567379260360438E-3</v>
      </c>
      <c r="G84" s="32">
        <v>1.2942103282711538E-2</v>
      </c>
      <c r="H84" s="32">
        <v>2.9511195727944591E-2</v>
      </c>
      <c r="I84" s="44"/>
      <c r="J84" s="44"/>
      <c r="K84" s="44"/>
      <c r="L84" s="44"/>
      <c r="M84" s="44"/>
      <c r="N84" s="37"/>
    </row>
    <row r="85" spans="1:14" x14ac:dyDescent="0.3">
      <c r="A85" s="97">
        <f t="shared" si="16"/>
        <v>6</v>
      </c>
      <c r="B85" s="97"/>
      <c r="C85" s="32">
        <v>0</v>
      </c>
      <c r="D85" s="32">
        <v>8.4577073666459446E-3</v>
      </c>
      <c r="E85" s="32">
        <v>6.5142107300133808E-3</v>
      </c>
      <c r="F85" s="32">
        <v>9.0827334171830962E-3</v>
      </c>
      <c r="G85" s="32">
        <v>1.6822459369031144E-2</v>
      </c>
      <c r="H85" s="32">
        <v>3.5764617282303318E-2</v>
      </c>
      <c r="I85" s="44"/>
      <c r="J85" s="44"/>
      <c r="K85" s="44"/>
      <c r="L85" s="44"/>
      <c r="M85" s="44"/>
      <c r="N85" s="37"/>
    </row>
    <row r="86" spans="1:14" x14ac:dyDescent="0.3">
      <c r="A86" s="97">
        <f t="shared" si="16"/>
        <v>7</v>
      </c>
      <c r="B86" s="97"/>
      <c r="C86" s="32">
        <v>0</v>
      </c>
      <c r="D86" s="32">
        <v>1.0271516829896367E-2</v>
      </c>
      <c r="E86" s="32">
        <v>7.476145314859634E-3</v>
      </c>
      <c r="F86" s="32">
        <v>1.1198220514411718E-2</v>
      </c>
      <c r="G86" s="32">
        <v>2.1041623879994791E-2</v>
      </c>
      <c r="H86" s="32">
        <v>4.0861574232849578E-2</v>
      </c>
      <c r="I86" s="44"/>
      <c r="J86" s="44"/>
      <c r="K86" s="44"/>
      <c r="L86" s="44"/>
      <c r="M86" s="44"/>
      <c r="N86" s="37"/>
    </row>
    <row r="87" spans="1:14" x14ac:dyDescent="0.3">
      <c r="A87" s="97">
        <f t="shared" si="16"/>
        <v>8</v>
      </c>
      <c r="B87" s="97"/>
      <c r="C87" s="32">
        <v>0</v>
      </c>
      <c r="D87" s="32">
        <v>1.1794670564047397E-2</v>
      </c>
      <c r="E87" s="32">
        <v>8.830980885120342E-3</v>
      </c>
      <c r="F87" s="32">
        <v>1.2741992443194832E-2</v>
      </c>
      <c r="G87" s="32">
        <v>2.4814069511558699E-2</v>
      </c>
      <c r="H87" s="32">
        <v>4.6169157811348491E-2</v>
      </c>
      <c r="I87" s="44"/>
      <c r="J87" s="44"/>
      <c r="K87" s="44"/>
      <c r="L87" s="44"/>
      <c r="M87" s="44"/>
      <c r="N87" s="37"/>
    </row>
    <row r="88" spans="1:14" x14ac:dyDescent="0.3">
      <c r="A88" s="97">
        <f t="shared" si="16"/>
        <v>9</v>
      </c>
      <c r="B88" s="97"/>
      <c r="C88" s="32">
        <v>0</v>
      </c>
      <c r="D88" s="32">
        <v>1.2942087780600844E-2</v>
      </c>
      <c r="E88" s="32">
        <v>9.6676408547989052E-3</v>
      </c>
      <c r="F88" s="32">
        <v>1.3957656484115906E-2</v>
      </c>
      <c r="G88" s="32">
        <v>2.8741002484526632E-2</v>
      </c>
      <c r="H88" s="32">
        <v>5.1904427151418513E-2</v>
      </c>
      <c r="I88" s="44"/>
      <c r="J88" s="44"/>
      <c r="K88" s="44"/>
      <c r="L88" s="44"/>
      <c r="M88" s="44"/>
      <c r="N88" s="37"/>
    </row>
    <row r="89" spans="1:14" x14ac:dyDescent="0.3">
      <c r="A89" s="97">
        <f t="shared" si="16"/>
        <v>10</v>
      </c>
      <c r="B89" s="97"/>
      <c r="C89" s="32">
        <v>0</v>
      </c>
      <c r="D89" s="32">
        <v>1.4285605410197293E-2</v>
      </c>
      <c r="E89" s="32">
        <v>1.0815748223540641E-2</v>
      </c>
      <c r="F89" s="32">
        <v>1.5337248862111035E-2</v>
      </c>
      <c r="G89" s="32">
        <v>3.2143568625890996E-2</v>
      </c>
      <c r="H89" s="32">
        <v>5.6675083316482022E-2</v>
      </c>
      <c r="I89" s="44"/>
      <c r="J89" s="44"/>
      <c r="K89" s="44"/>
      <c r="L89" s="44"/>
      <c r="M89" s="44"/>
      <c r="N89" s="37"/>
    </row>
    <row r="90" spans="1:14" x14ac:dyDescent="0.3">
      <c r="A90" s="39"/>
      <c r="B90" s="39"/>
      <c r="C90" s="96"/>
      <c r="D90" s="96"/>
      <c r="E90" s="96"/>
      <c r="F90" s="96"/>
      <c r="G90" s="96"/>
      <c r="H90" s="96"/>
      <c r="I90" s="44"/>
      <c r="J90" s="44"/>
      <c r="K90" s="44"/>
      <c r="L90" s="44"/>
      <c r="M90" s="44"/>
      <c r="N90" s="37"/>
    </row>
    <row r="91" spans="1:14" x14ac:dyDescent="0.3">
      <c r="J91" s="44"/>
      <c r="K91" s="44"/>
      <c r="L91" s="44"/>
      <c r="M91" s="44"/>
      <c r="N91" s="37"/>
    </row>
    <row r="92" spans="1:14" x14ac:dyDescent="0.3">
      <c r="A92" s="157" t="s">
        <v>13</v>
      </c>
      <c r="N92" s="37"/>
    </row>
    <row r="93" spans="1:14" x14ac:dyDescent="0.3">
      <c r="A93" s="77" t="s">
        <v>207</v>
      </c>
      <c r="N93" s="37"/>
    </row>
    <row r="94" spans="1:14" x14ac:dyDescent="0.3">
      <c r="A94" s="41" t="s">
        <v>198</v>
      </c>
    </row>
    <row r="95" spans="1:14" x14ac:dyDescent="0.3">
      <c r="A95" s="42"/>
    </row>
    <row r="96" spans="1:14" x14ac:dyDescent="0.3">
      <c r="A96" s="42"/>
    </row>
    <row r="97" spans="1:18" x14ac:dyDescent="0.3">
      <c r="A97" s="56" t="s">
        <v>151</v>
      </c>
    </row>
    <row r="98" spans="1:18" x14ac:dyDescent="0.3">
      <c r="A98" s="78" t="s">
        <v>160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8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</row>
    <row r="100" spans="1:18" x14ac:dyDescent="0.3">
      <c r="A100" s="97"/>
      <c r="B100" s="97"/>
      <c r="C100" s="99" t="s">
        <v>54</v>
      </c>
      <c r="D100" s="99"/>
      <c r="E100" s="99"/>
      <c r="F100" s="99"/>
      <c r="G100" s="99"/>
      <c r="H100" s="99"/>
      <c r="I100" s="44"/>
    </row>
    <row r="101" spans="1:18" x14ac:dyDescent="0.3">
      <c r="A101" s="80" t="s">
        <v>10</v>
      </c>
      <c r="B101" s="80"/>
      <c r="C101" s="30" t="s">
        <v>55</v>
      </c>
      <c r="D101" s="30" t="s">
        <v>299</v>
      </c>
      <c r="E101" s="30" t="s">
        <v>34</v>
      </c>
      <c r="F101" s="30" t="s">
        <v>35</v>
      </c>
      <c r="G101" s="30" t="s">
        <v>33</v>
      </c>
      <c r="H101" s="30" t="s">
        <v>56</v>
      </c>
      <c r="I101" s="44"/>
    </row>
    <row r="102" spans="1:18" x14ac:dyDescent="0.3">
      <c r="A102" s="97">
        <v>1</v>
      </c>
      <c r="B102" s="97"/>
      <c r="C102" s="33">
        <f t="shared" ref="C102:C111" si="17">C57*2</f>
        <v>0</v>
      </c>
      <c r="D102" s="33">
        <f t="shared" ref="D102:H102" si="18">D57*2</f>
        <v>3.0235333666832754E-4</v>
      </c>
      <c r="E102" s="33">
        <f t="shared" si="18"/>
        <v>0</v>
      </c>
      <c r="F102" s="33">
        <f t="shared" si="18"/>
        <v>4.0999999999999999E-4</v>
      </c>
      <c r="G102" s="33">
        <f t="shared" si="18"/>
        <v>1.1299999999999999E-3</v>
      </c>
      <c r="H102" s="33">
        <f t="shared" si="18"/>
        <v>3.3899999999999998E-3</v>
      </c>
      <c r="I102" s="44"/>
      <c r="O102" s="37"/>
      <c r="P102" s="37"/>
      <c r="Q102" s="37"/>
      <c r="R102" s="37"/>
    </row>
    <row r="103" spans="1:18" x14ac:dyDescent="0.3">
      <c r="A103" s="97">
        <f>+A102+1</f>
        <v>2</v>
      </c>
      <c r="B103" s="97"/>
      <c r="C103" s="33">
        <f t="shared" si="17"/>
        <v>0</v>
      </c>
      <c r="D103" s="33">
        <f t="shared" ref="D103:H103" si="19">D58*2</f>
        <v>9.917836416901795E-4</v>
      </c>
      <c r="E103" s="33">
        <f t="shared" si="19"/>
        <v>4.0999999999999999E-4</v>
      </c>
      <c r="F103" s="33">
        <f t="shared" si="19"/>
        <v>1.1900000000000001E-3</v>
      </c>
      <c r="G103" s="33">
        <f t="shared" si="19"/>
        <v>2.99E-3</v>
      </c>
      <c r="H103" s="33">
        <f t="shared" si="19"/>
        <v>9.2999999999999992E-3</v>
      </c>
      <c r="I103" s="44"/>
      <c r="N103" s="44"/>
      <c r="O103" s="37"/>
      <c r="P103" s="37"/>
      <c r="Q103" s="37"/>
      <c r="R103" s="37"/>
    </row>
    <row r="104" spans="1:18" x14ac:dyDescent="0.3">
      <c r="A104" s="97">
        <f t="shared" ref="A104:A111" si="20">+A103+1</f>
        <v>3</v>
      </c>
      <c r="B104" s="97"/>
      <c r="C104" s="33">
        <f t="shared" si="17"/>
        <v>0</v>
      </c>
      <c r="D104" s="33">
        <f t="shared" ref="D104:H104" si="21">D59*2</f>
        <v>2.088059535737089E-3</v>
      </c>
      <c r="E104" s="33">
        <f t="shared" si="21"/>
        <v>1.41E-3</v>
      </c>
      <c r="F104" s="33">
        <f t="shared" si="21"/>
        <v>2.2899999999999999E-3</v>
      </c>
      <c r="G104" s="33">
        <f t="shared" si="21"/>
        <v>5.7400000000000003E-3</v>
      </c>
      <c r="H104" s="33">
        <f t="shared" si="21"/>
        <v>1.6059999999999998E-2</v>
      </c>
      <c r="I104" s="44"/>
      <c r="O104" s="37"/>
      <c r="P104" s="37"/>
      <c r="Q104" s="37"/>
      <c r="R104" s="37"/>
    </row>
    <row r="105" spans="1:18" x14ac:dyDescent="0.3">
      <c r="A105" s="97">
        <f t="shared" si="20"/>
        <v>4</v>
      </c>
      <c r="B105" s="97"/>
      <c r="C105" s="33">
        <f t="shared" si="17"/>
        <v>0</v>
      </c>
      <c r="D105" s="33">
        <f t="shared" ref="D105:H105" si="22">D60*2</f>
        <v>3.7609486235587412E-3</v>
      </c>
      <c r="E105" s="33">
        <f t="shared" si="22"/>
        <v>2.7000000000000001E-3</v>
      </c>
      <c r="F105" s="33">
        <f t="shared" si="22"/>
        <v>4.0899999999999999E-3</v>
      </c>
      <c r="G105" s="33">
        <f t="shared" si="22"/>
        <v>8.8800000000000007E-3</v>
      </c>
      <c r="H105" s="33">
        <f t="shared" si="22"/>
        <v>2.4160000000000001E-2</v>
      </c>
      <c r="I105" s="44"/>
      <c r="O105" s="37"/>
      <c r="P105" s="37"/>
      <c r="Q105" s="37"/>
      <c r="R105" s="37"/>
    </row>
    <row r="106" spans="1:18" x14ac:dyDescent="0.3">
      <c r="A106" s="97">
        <f t="shared" si="20"/>
        <v>5</v>
      </c>
      <c r="B106" s="97"/>
      <c r="C106" s="33">
        <f t="shared" si="17"/>
        <v>0</v>
      </c>
      <c r="D106" s="33">
        <f t="shared" ref="D106:H106" si="23">D61*2</f>
        <v>5.7094909221766113E-3</v>
      </c>
      <c r="E106" s="33">
        <f t="shared" si="23"/>
        <v>4.3400000000000001E-3</v>
      </c>
      <c r="F106" s="33">
        <f t="shared" si="23"/>
        <v>6.13E-3</v>
      </c>
      <c r="G106" s="33">
        <f t="shared" si="23"/>
        <v>1.251E-2</v>
      </c>
      <c r="H106" s="33">
        <f t="shared" si="23"/>
        <v>3.2460000000000003E-2</v>
      </c>
      <c r="I106" s="44"/>
      <c r="O106" s="37"/>
      <c r="P106" s="37"/>
      <c r="Q106" s="37"/>
      <c r="R106" s="37"/>
    </row>
    <row r="107" spans="1:18" x14ac:dyDescent="0.3">
      <c r="A107" s="97">
        <f t="shared" si="20"/>
        <v>6</v>
      </c>
      <c r="B107" s="97"/>
      <c r="C107" s="33">
        <f t="shared" si="17"/>
        <v>0</v>
      </c>
      <c r="D107" s="33">
        <f t="shared" ref="D107:H107" si="24">D62*2</f>
        <v>7.7557042240008643E-3</v>
      </c>
      <c r="E107" s="33">
        <f t="shared" si="24"/>
        <v>5.96E-3</v>
      </c>
      <c r="F107" s="33">
        <f t="shared" si="24"/>
        <v>8.3099999999999997E-3</v>
      </c>
      <c r="G107" s="33">
        <f t="shared" si="24"/>
        <v>1.6539999999999999E-2</v>
      </c>
      <c r="H107" s="33">
        <f t="shared" si="24"/>
        <v>4.0840000000000001E-2</v>
      </c>
      <c r="I107" s="44"/>
      <c r="O107" s="37"/>
      <c r="P107" s="37"/>
      <c r="Q107" s="37"/>
      <c r="R107" s="37"/>
    </row>
    <row r="108" spans="1:18" x14ac:dyDescent="0.3">
      <c r="A108" s="97">
        <f t="shared" si="20"/>
        <v>7</v>
      </c>
      <c r="B108" s="97"/>
      <c r="C108" s="33">
        <f t="shared" si="17"/>
        <v>0</v>
      </c>
      <c r="D108" s="33">
        <f t="shared" ref="D108:H108" si="25">D63*2</f>
        <v>9.6515599467595688E-3</v>
      </c>
      <c r="E108" s="33">
        <f t="shared" si="25"/>
        <v>7.0100000000000006E-3</v>
      </c>
      <c r="F108" s="33">
        <f t="shared" si="25"/>
        <v>1.0499999999999999E-2</v>
      </c>
      <c r="G108" s="33">
        <f t="shared" si="25"/>
        <v>2.1069999999999998E-2</v>
      </c>
      <c r="H108" s="33">
        <f t="shared" si="25"/>
        <v>4.8520000000000008E-2</v>
      </c>
      <c r="I108" s="44"/>
      <c r="O108" s="37"/>
      <c r="P108" s="37"/>
      <c r="Q108" s="37"/>
      <c r="R108" s="37"/>
    </row>
    <row r="109" spans="1:18" x14ac:dyDescent="0.3">
      <c r="A109" s="97">
        <f t="shared" si="20"/>
        <v>8</v>
      </c>
      <c r="B109" s="97"/>
      <c r="C109" s="33">
        <f t="shared" si="17"/>
        <v>0</v>
      </c>
      <c r="D109" s="33">
        <f t="shared" ref="D109:H109" si="26">D64*2</f>
        <v>1.1364532674077315E-2</v>
      </c>
      <c r="E109" s="33">
        <f t="shared" si="26"/>
        <v>8.490000000000001E-3</v>
      </c>
      <c r="F109" s="33">
        <f t="shared" si="26"/>
        <v>1.225E-2</v>
      </c>
      <c r="G109" s="33">
        <f t="shared" si="26"/>
        <v>2.5509999999999998E-2</v>
      </c>
      <c r="H109" s="33">
        <f t="shared" si="26"/>
        <v>5.6410000000000002E-2</v>
      </c>
      <c r="I109" s="44"/>
      <c r="O109" s="37"/>
      <c r="P109" s="37"/>
      <c r="Q109" s="37"/>
      <c r="R109" s="37"/>
    </row>
    <row r="110" spans="1:18" x14ac:dyDescent="0.3">
      <c r="A110" s="97">
        <f t="shared" si="20"/>
        <v>9</v>
      </c>
      <c r="B110" s="97"/>
      <c r="C110" s="33">
        <f t="shared" si="17"/>
        <v>0</v>
      </c>
      <c r="D110" s="33">
        <f t="shared" ref="D110:H110" si="27">D65*2</f>
        <v>1.2876294528316156E-2</v>
      </c>
      <c r="E110" s="33">
        <f t="shared" si="27"/>
        <v>9.6000000000000009E-3</v>
      </c>
      <c r="F110" s="33">
        <f t="shared" si="27"/>
        <v>1.3860000000000001E-2</v>
      </c>
      <c r="G110" s="33">
        <f t="shared" si="27"/>
        <v>3.0159999999999999E-2</v>
      </c>
      <c r="H110" s="33">
        <f t="shared" si="27"/>
        <v>6.4680000000000001E-2</v>
      </c>
      <c r="I110" s="44"/>
      <c r="O110" s="37"/>
      <c r="P110" s="37"/>
      <c r="Q110" s="37"/>
      <c r="R110" s="37"/>
    </row>
    <row r="111" spans="1:18" x14ac:dyDescent="0.3">
      <c r="A111" s="97">
        <f t="shared" si="20"/>
        <v>10</v>
      </c>
      <c r="B111" s="97"/>
      <c r="C111" s="33">
        <f t="shared" si="17"/>
        <v>0</v>
      </c>
      <c r="D111" s="33">
        <f t="shared" ref="D111:H111" si="28">D66*2</f>
        <v>1.4384014211902042E-2</v>
      </c>
      <c r="E111" s="33">
        <f t="shared" si="28"/>
        <v>1.0860000000000002E-2</v>
      </c>
      <c r="F111" s="33">
        <f t="shared" si="28"/>
        <v>1.54E-2</v>
      </c>
      <c r="G111" s="33">
        <f t="shared" si="28"/>
        <v>3.4889999999999997E-2</v>
      </c>
      <c r="H111" s="33">
        <f t="shared" si="28"/>
        <v>7.3289999999999994E-2</v>
      </c>
      <c r="I111" s="44"/>
      <c r="O111" s="37"/>
      <c r="P111" s="37"/>
      <c r="Q111" s="37"/>
      <c r="R111" s="37"/>
    </row>
    <row r="112" spans="1:18" x14ac:dyDescent="0.3">
      <c r="A112" s="39"/>
      <c r="B112" s="39"/>
      <c r="C112" s="96"/>
      <c r="D112" s="96"/>
      <c r="E112" s="96"/>
      <c r="F112" s="96"/>
      <c r="G112" s="96"/>
      <c r="H112" s="96"/>
      <c r="I112" s="44"/>
      <c r="O112" s="37"/>
      <c r="P112" s="37"/>
      <c r="Q112" s="37"/>
      <c r="R112" s="37"/>
    </row>
    <row r="113" spans="1:18" x14ac:dyDescent="0.3">
      <c r="O113" s="37"/>
      <c r="P113" s="37"/>
      <c r="Q113" s="37"/>
      <c r="R113" s="37"/>
    </row>
    <row r="114" spans="1:18" x14ac:dyDescent="0.3">
      <c r="A114" s="157" t="s">
        <v>13</v>
      </c>
      <c r="O114" s="37"/>
      <c r="P114" s="37"/>
      <c r="Q114" s="37"/>
      <c r="R114" s="37"/>
    </row>
    <row r="115" spans="1:18" x14ac:dyDescent="0.3">
      <c r="A115" s="77" t="s">
        <v>208</v>
      </c>
      <c r="O115" s="37"/>
      <c r="P115" s="37"/>
      <c r="Q115" s="37"/>
      <c r="R115" s="37"/>
    </row>
    <row r="116" spans="1:18" x14ac:dyDescent="0.3">
      <c r="A116" s="42"/>
    </row>
    <row r="117" spans="1:18" x14ac:dyDescent="0.3">
      <c r="A117" s="42"/>
    </row>
    <row r="118" spans="1:18" x14ac:dyDescent="0.3">
      <c r="A118" s="56" t="s">
        <v>161</v>
      </c>
    </row>
    <row r="119" spans="1:18" x14ac:dyDescent="0.3">
      <c r="A119" s="78" t="s">
        <v>158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1:18" x14ac:dyDescent="0.3">
      <c r="A120" s="78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1:18" x14ac:dyDescent="0.3">
      <c r="A121" s="159" t="s">
        <v>152</v>
      </c>
      <c r="B121" s="160" t="s">
        <v>153</v>
      </c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1:18" x14ac:dyDescent="0.3"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1:18" x14ac:dyDescent="0.3">
      <c r="E123" s="44"/>
      <c r="F123" s="44"/>
      <c r="G123" s="44"/>
      <c r="H123" s="44"/>
      <c r="I123" s="44"/>
      <c r="J123" s="44"/>
      <c r="K123" s="44"/>
      <c r="L123" s="44"/>
      <c r="M123" s="44"/>
    </row>
    <row r="124" spans="1:18" x14ac:dyDescent="0.3">
      <c r="A124" s="97"/>
      <c r="B124" s="97"/>
      <c r="C124" s="99" t="s">
        <v>54</v>
      </c>
      <c r="D124" s="99"/>
      <c r="E124" s="99"/>
      <c r="F124" s="99"/>
      <c r="G124" s="99"/>
      <c r="H124" s="99"/>
      <c r="I124" s="44"/>
    </row>
    <row r="125" spans="1:18" x14ac:dyDescent="0.3">
      <c r="A125" s="80" t="s">
        <v>10</v>
      </c>
      <c r="B125" s="80"/>
      <c r="C125" s="30" t="s">
        <v>55</v>
      </c>
      <c r="D125" s="30" t="s">
        <v>299</v>
      </c>
      <c r="E125" s="30" t="s">
        <v>34</v>
      </c>
      <c r="F125" s="30" t="s">
        <v>35</v>
      </c>
      <c r="G125" s="30" t="s">
        <v>33</v>
      </c>
      <c r="H125" s="30" t="s">
        <v>56</v>
      </c>
      <c r="I125" s="44"/>
    </row>
    <row r="126" spans="1:18" x14ac:dyDescent="0.3">
      <c r="A126" s="97">
        <v>1</v>
      </c>
      <c r="B126" s="97"/>
      <c r="C126" s="33">
        <f t="shared" ref="C126:C135" si="29">IF($B$121="Percentile",C80,C102)</f>
        <v>0</v>
      </c>
      <c r="D126" s="33">
        <f t="shared" ref="D126:H126" si="30">IF($B$121="Percentile",D80,D102)</f>
        <v>4.4439163867565049E-4</v>
      </c>
      <c r="E126" s="33">
        <f t="shared" si="30"/>
        <v>4.4621967879078707E-4</v>
      </c>
      <c r="F126" s="33">
        <f t="shared" si="30"/>
        <v>4.2546040926745002E-4</v>
      </c>
      <c r="G126" s="33">
        <f t="shared" si="30"/>
        <v>1.2711603142548796E-3</v>
      </c>
      <c r="H126" s="33">
        <f t="shared" si="30"/>
        <v>3.8079976962412465E-3</v>
      </c>
      <c r="I126" s="44"/>
      <c r="N126" s="44" t="s">
        <v>153</v>
      </c>
    </row>
    <row r="127" spans="1:18" x14ac:dyDescent="0.3">
      <c r="A127" s="97">
        <f>+A126+1</f>
        <v>2</v>
      </c>
      <c r="B127" s="97"/>
      <c r="C127" s="33">
        <f t="shared" si="29"/>
        <v>0</v>
      </c>
      <c r="D127" s="33">
        <f t="shared" ref="D127:H127" si="31">IF($B$121="Percentile",D81,D103)</f>
        <v>1.0963998151722828E-3</v>
      </c>
      <c r="E127" s="33">
        <f t="shared" si="31"/>
        <v>4.5193489936027411E-4</v>
      </c>
      <c r="F127" s="33">
        <f t="shared" si="31"/>
        <v>1.3147463740944023E-3</v>
      </c>
      <c r="G127" s="33">
        <f t="shared" si="31"/>
        <v>3.365669343455805E-3</v>
      </c>
      <c r="H127" s="33">
        <f t="shared" si="31"/>
        <v>9.5688597728990268E-3</v>
      </c>
      <c r="I127" s="44"/>
      <c r="N127" s="41" t="s">
        <v>154</v>
      </c>
    </row>
    <row r="128" spans="1:18" x14ac:dyDescent="0.3">
      <c r="A128" s="97">
        <f t="shared" ref="A128" si="32">+A127+1</f>
        <v>3</v>
      </c>
      <c r="B128" s="97"/>
      <c r="C128" s="33">
        <f t="shared" si="29"/>
        <v>0</v>
      </c>
      <c r="D128" s="33">
        <f t="shared" ref="D128:H128" si="33">IF($B$121="Percentile",D82,D104)</f>
        <v>2.3532636253393753E-3</v>
      </c>
      <c r="E128" s="33">
        <f t="shared" si="33"/>
        <v>1.5909044113317442E-3</v>
      </c>
      <c r="F128" s="33">
        <f t="shared" si="33"/>
        <v>2.5848941820924239E-3</v>
      </c>
      <c r="G128" s="33">
        <f t="shared" si="33"/>
        <v>6.2506615810968471E-3</v>
      </c>
      <c r="H128" s="33">
        <f t="shared" si="33"/>
        <v>1.5445350540118708E-2</v>
      </c>
      <c r="I128" s="44"/>
    </row>
    <row r="129" spans="1:13" x14ac:dyDescent="0.3">
      <c r="A129" s="97">
        <f t="shared" ref="A129" si="34">+A128+1</f>
        <v>4</v>
      </c>
      <c r="B129" s="97"/>
      <c r="C129" s="33">
        <f t="shared" si="29"/>
        <v>0</v>
      </c>
      <c r="D129" s="33">
        <f t="shared" ref="D129:H129" si="35">IF($B$121="Percentile",D83,D105)</f>
        <v>4.2508852274774616E-3</v>
      </c>
      <c r="E129" s="33">
        <f t="shared" si="35"/>
        <v>3.0575208186027557E-3</v>
      </c>
      <c r="F129" s="33">
        <f t="shared" si="35"/>
        <v>4.6315778326241749E-3</v>
      </c>
      <c r="G129" s="33">
        <f t="shared" si="35"/>
        <v>9.527773060855246E-3</v>
      </c>
      <c r="H129" s="33">
        <f t="shared" si="35"/>
        <v>2.2648523975402655E-2</v>
      </c>
      <c r="I129" s="44"/>
    </row>
    <row r="130" spans="1:13" x14ac:dyDescent="0.3">
      <c r="A130" s="97">
        <f t="shared" ref="A130" si="36">+A129+1</f>
        <v>5</v>
      </c>
      <c r="B130" s="97"/>
      <c r="C130" s="33">
        <f t="shared" si="29"/>
        <v>0</v>
      </c>
      <c r="D130" s="33">
        <f t="shared" ref="D130:H130" si="37">IF($B$121="Percentile",D84,D106)</f>
        <v>6.3703144554743078E-3</v>
      </c>
      <c r="E130" s="33">
        <f t="shared" si="37"/>
        <v>4.8545257094610821E-3</v>
      </c>
      <c r="F130" s="33">
        <f t="shared" si="37"/>
        <v>6.8567379260360438E-3</v>
      </c>
      <c r="G130" s="33">
        <f t="shared" si="37"/>
        <v>1.2942103282711538E-2</v>
      </c>
      <c r="H130" s="33">
        <f t="shared" si="37"/>
        <v>2.9511195727944591E-2</v>
      </c>
      <c r="I130" s="44"/>
    </row>
    <row r="131" spans="1:13" x14ac:dyDescent="0.3">
      <c r="A131" s="97">
        <f t="shared" ref="A131" si="38">+A130+1</f>
        <v>6</v>
      </c>
      <c r="B131" s="97"/>
      <c r="C131" s="33">
        <f t="shared" si="29"/>
        <v>0</v>
      </c>
      <c r="D131" s="33">
        <f t="shared" ref="D131:H131" si="39">IF($B$121="Percentile",D85,D107)</f>
        <v>8.4577073666459446E-3</v>
      </c>
      <c r="E131" s="33">
        <f t="shared" si="39"/>
        <v>6.5142107300133808E-3</v>
      </c>
      <c r="F131" s="33">
        <f t="shared" si="39"/>
        <v>9.0827334171830962E-3</v>
      </c>
      <c r="G131" s="33">
        <f t="shared" si="39"/>
        <v>1.6822459369031144E-2</v>
      </c>
      <c r="H131" s="33">
        <f t="shared" si="39"/>
        <v>3.5764617282303318E-2</v>
      </c>
      <c r="I131" s="44"/>
    </row>
    <row r="132" spans="1:13" x14ac:dyDescent="0.3">
      <c r="A132" s="97">
        <f t="shared" ref="A132" si="40">+A131+1</f>
        <v>7</v>
      </c>
      <c r="B132" s="97"/>
      <c r="C132" s="33">
        <f t="shared" si="29"/>
        <v>0</v>
      </c>
      <c r="D132" s="33">
        <f t="shared" ref="D132:H132" si="41">IF($B$121="Percentile",D86,D108)</f>
        <v>1.0271516829896367E-2</v>
      </c>
      <c r="E132" s="33">
        <f t="shared" si="41"/>
        <v>7.476145314859634E-3</v>
      </c>
      <c r="F132" s="33">
        <f t="shared" si="41"/>
        <v>1.1198220514411718E-2</v>
      </c>
      <c r="G132" s="33">
        <f t="shared" si="41"/>
        <v>2.1041623879994791E-2</v>
      </c>
      <c r="H132" s="33">
        <f t="shared" si="41"/>
        <v>4.0861574232849578E-2</v>
      </c>
      <c r="I132" s="44"/>
    </row>
    <row r="133" spans="1:13" x14ac:dyDescent="0.3">
      <c r="A133" s="97">
        <f t="shared" ref="A133" si="42">+A132+1</f>
        <v>8</v>
      </c>
      <c r="B133" s="97"/>
      <c r="C133" s="33">
        <f t="shared" si="29"/>
        <v>0</v>
      </c>
      <c r="D133" s="33">
        <f t="shared" ref="D133:H133" si="43">IF($B$121="Percentile",D87,D109)</f>
        <v>1.1794670564047397E-2</v>
      </c>
      <c r="E133" s="33">
        <f t="shared" si="43"/>
        <v>8.830980885120342E-3</v>
      </c>
      <c r="F133" s="33">
        <f t="shared" si="43"/>
        <v>1.2741992443194832E-2</v>
      </c>
      <c r="G133" s="33">
        <f t="shared" si="43"/>
        <v>2.4814069511558699E-2</v>
      </c>
      <c r="H133" s="33">
        <f t="shared" si="43"/>
        <v>4.6169157811348491E-2</v>
      </c>
      <c r="I133" s="44"/>
    </row>
    <row r="134" spans="1:13" x14ac:dyDescent="0.3">
      <c r="A134" s="97">
        <f t="shared" ref="A134" si="44">+A133+1</f>
        <v>9</v>
      </c>
      <c r="B134" s="97"/>
      <c r="C134" s="33">
        <f t="shared" si="29"/>
        <v>0</v>
      </c>
      <c r="D134" s="33">
        <f t="shared" ref="D134:H134" si="45">IF($B$121="Percentile",D88,D110)</f>
        <v>1.2942087780600844E-2</v>
      </c>
      <c r="E134" s="33">
        <f t="shared" si="45"/>
        <v>9.6676408547989052E-3</v>
      </c>
      <c r="F134" s="33">
        <f t="shared" si="45"/>
        <v>1.3957656484115906E-2</v>
      </c>
      <c r="G134" s="33">
        <f t="shared" si="45"/>
        <v>2.8741002484526632E-2</v>
      </c>
      <c r="H134" s="33">
        <f t="shared" si="45"/>
        <v>5.1904427151418513E-2</v>
      </c>
      <c r="I134" s="44"/>
    </row>
    <row r="135" spans="1:13" x14ac:dyDescent="0.3">
      <c r="A135" s="97">
        <f t="shared" ref="A135" si="46">+A134+1</f>
        <v>10</v>
      </c>
      <c r="B135" s="97"/>
      <c r="C135" s="33">
        <f t="shared" si="29"/>
        <v>0</v>
      </c>
      <c r="D135" s="33">
        <f t="shared" ref="D135:H135" si="47">IF($B$121="Percentile",D89,D111)</f>
        <v>1.4285605410197293E-2</v>
      </c>
      <c r="E135" s="33">
        <f t="shared" si="47"/>
        <v>1.0815748223540641E-2</v>
      </c>
      <c r="F135" s="33">
        <f t="shared" si="47"/>
        <v>1.5337248862111035E-2</v>
      </c>
      <c r="G135" s="33">
        <f t="shared" si="47"/>
        <v>3.2143568625890996E-2</v>
      </c>
      <c r="H135" s="33">
        <f t="shared" si="47"/>
        <v>5.6675083316482022E-2</v>
      </c>
      <c r="I135" s="44"/>
    </row>
    <row r="136" spans="1:13" x14ac:dyDescent="0.3">
      <c r="A136" s="39"/>
      <c r="B136" s="39"/>
      <c r="C136" s="96"/>
      <c r="D136" s="96"/>
      <c r="E136" s="96"/>
      <c r="F136" s="96"/>
      <c r="G136" s="96"/>
      <c r="H136" s="96"/>
      <c r="I136" s="44"/>
    </row>
    <row r="137" spans="1:13" x14ac:dyDescent="0.3">
      <c r="I137" s="44"/>
    </row>
    <row r="138" spans="1:13" x14ac:dyDescent="0.3">
      <c r="A138" s="157" t="s">
        <v>13</v>
      </c>
    </row>
    <row r="139" spans="1:13" x14ac:dyDescent="0.3">
      <c r="A139" s="77" t="s">
        <v>206</v>
      </c>
    </row>
    <row r="140" spans="1:13" x14ac:dyDescent="0.3">
      <c r="A140" s="77" t="s">
        <v>159</v>
      </c>
    </row>
    <row r="141" spans="1:13" x14ac:dyDescent="0.3">
      <c r="A141" s="42"/>
    </row>
    <row r="142" spans="1:13" x14ac:dyDescent="0.3">
      <c r="A142" s="42"/>
    </row>
    <row r="143" spans="1:13" x14ac:dyDescent="0.3">
      <c r="A143" s="56" t="s">
        <v>104</v>
      </c>
    </row>
    <row r="144" spans="1:13" x14ac:dyDescent="0.3">
      <c r="A144" s="78" t="s">
        <v>197</v>
      </c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</row>
    <row r="145" spans="1:13" x14ac:dyDescent="0.3">
      <c r="E145" s="44"/>
      <c r="F145" s="44"/>
      <c r="G145" s="44"/>
      <c r="H145" s="44"/>
      <c r="I145" s="44"/>
      <c r="J145" s="44"/>
      <c r="K145" s="44"/>
      <c r="L145" s="44"/>
      <c r="M145" s="44"/>
    </row>
    <row r="146" spans="1:13" x14ac:dyDescent="0.3">
      <c r="E146" s="44"/>
      <c r="F146" s="44"/>
      <c r="G146" s="44"/>
      <c r="H146" s="44"/>
      <c r="I146" s="44"/>
      <c r="J146" s="44"/>
      <c r="K146" s="44"/>
      <c r="L146" s="44"/>
      <c r="M146" s="44"/>
    </row>
    <row r="147" spans="1:13" x14ac:dyDescent="0.3">
      <c r="A147" s="97"/>
      <c r="B147" s="97"/>
      <c r="C147" s="99" t="s">
        <v>54</v>
      </c>
      <c r="D147" s="99"/>
      <c r="E147" s="99"/>
      <c r="F147" s="99"/>
      <c r="G147" s="99"/>
      <c r="H147" s="99"/>
      <c r="I147" s="44"/>
      <c r="K147" s="44"/>
    </row>
    <row r="148" spans="1:13" x14ac:dyDescent="0.3">
      <c r="A148" s="80" t="s">
        <v>10</v>
      </c>
      <c r="B148" s="80"/>
      <c r="C148" s="30" t="s">
        <v>55</v>
      </c>
      <c r="D148" s="30" t="s">
        <v>299</v>
      </c>
      <c r="E148" s="30" t="s">
        <v>34</v>
      </c>
      <c r="F148" s="30" t="s">
        <v>35</v>
      </c>
      <c r="G148" s="30" t="s">
        <v>33</v>
      </c>
      <c r="H148" s="30" t="s">
        <v>56</v>
      </c>
      <c r="I148" s="44"/>
      <c r="K148" s="44"/>
    </row>
    <row r="149" spans="1:13" x14ac:dyDescent="0.3">
      <c r="A149" s="97">
        <v>1</v>
      </c>
      <c r="B149" s="97"/>
      <c r="C149" s="33">
        <f>C126</f>
        <v>0</v>
      </c>
      <c r="D149" s="33">
        <f t="shared" ref="D149:H149" si="48">D126</f>
        <v>4.4439163867565049E-4</v>
      </c>
      <c r="E149" s="33">
        <f t="shared" si="48"/>
        <v>4.4621967879078707E-4</v>
      </c>
      <c r="F149" s="33">
        <f t="shared" si="48"/>
        <v>4.2546040926745002E-4</v>
      </c>
      <c r="G149" s="33">
        <f t="shared" si="48"/>
        <v>1.2711603142548796E-3</v>
      </c>
      <c r="H149" s="33">
        <f t="shared" si="48"/>
        <v>3.8079976962412465E-3</v>
      </c>
      <c r="I149" s="44"/>
      <c r="K149" s="44"/>
    </row>
    <row r="150" spans="1:13" x14ac:dyDescent="0.3">
      <c r="A150" s="97">
        <f>+A149+1</f>
        <v>2</v>
      </c>
      <c r="B150" s="97"/>
      <c r="C150" s="33">
        <f t="shared" ref="C150:C158" si="49">C127-C126</f>
        <v>0</v>
      </c>
      <c r="D150" s="33">
        <f t="shared" ref="D150:H150" si="50">D127-D126</f>
        <v>6.5200817649663234E-4</v>
      </c>
      <c r="E150" s="33">
        <f t="shared" si="50"/>
        <v>5.7152205694870409E-6</v>
      </c>
      <c r="F150" s="33">
        <f t="shared" si="50"/>
        <v>8.8928596482695224E-4</v>
      </c>
      <c r="G150" s="33">
        <f t="shared" si="50"/>
        <v>2.0945090292009251E-3</v>
      </c>
      <c r="H150" s="33">
        <f t="shared" si="50"/>
        <v>5.7608620766577802E-3</v>
      </c>
      <c r="I150" s="44"/>
      <c r="K150" s="44"/>
    </row>
    <row r="151" spans="1:13" x14ac:dyDescent="0.3">
      <c r="A151" s="97">
        <f t="shared" ref="A151:A158" si="51">+A150+1</f>
        <v>3</v>
      </c>
      <c r="B151" s="97"/>
      <c r="C151" s="33">
        <f t="shared" si="49"/>
        <v>0</v>
      </c>
      <c r="D151" s="33">
        <f t="shared" ref="D151:H151" si="52">D128-D127</f>
        <v>1.2568638101670925E-3</v>
      </c>
      <c r="E151" s="33">
        <f t="shared" si="52"/>
        <v>1.1389695119714701E-3</v>
      </c>
      <c r="F151" s="33">
        <f t="shared" si="52"/>
        <v>1.2701478079980217E-3</v>
      </c>
      <c r="G151" s="33">
        <f t="shared" si="52"/>
        <v>2.8849922376410421E-3</v>
      </c>
      <c r="H151" s="33">
        <f t="shared" si="52"/>
        <v>5.8764907672196817E-3</v>
      </c>
      <c r="I151" s="44"/>
      <c r="K151" s="44"/>
    </row>
    <row r="152" spans="1:13" x14ac:dyDescent="0.3">
      <c r="A152" s="97">
        <f t="shared" si="51"/>
        <v>4</v>
      </c>
      <c r="B152" s="97"/>
      <c r="C152" s="33">
        <f t="shared" si="49"/>
        <v>0</v>
      </c>
      <c r="D152" s="33">
        <f t="shared" ref="D152:H152" si="53">D129-D128</f>
        <v>1.8976216021380863E-3</v>
      </c>
      <c r="E152" s="33">
        <f t="shared" si="53"/>
        <v>1.4666164072710114E-3</v>
      </c>
      <c r="F152" s="33">
        <f t="shared" si="53"/>
        <v>2.046683650531751E-3</v>
      </c>
      <c r="G152" s="33">
        <f t="shared" si="53"/>
        <v>3.2771114797583989E-3</v>
      </c>
      <c r="H152" s="33">
        <f t="shared" si="53"/>
        <v>7.2031734352839463E-3</v>
      </c>
      <c r="I152" s="44"/>
    </row>
    <row r="153" spans="1:13" x14ac:dyDescent="0.3">
      <c r="A153" s="97">
        <f t="shared" si="51"/>
        <v>5</v>
      </c>
      <c r="B153" s="97"/>
      <c r="C153" s="33">
        <f t="shared" si="49"/>
        <v>0</v>
      </c>
      <c r="D153" s="33">
        <f t="shared" ref="D153:H153" si="54">D130-D129</f>
        <v>2.1194292279968462E-3</v>
      </c>
      <c r="E153" s="33">
        <f t="shared" si="54"/>
        <v>1.7970048908583264E-3</v>
      </c>
      <c r="F153" s="33">
        <f t="shared" si="54"/>
        <v>2.2251600934118689E-3</v>
      </c>
      <c r="G153" s="33">
        <f t="shared" si="54"/>
        <v>3.4143302218562922E-3</v>
      </c>
      <c r="H153" s="33">
        <f t="shared" si="54"/>
        <v>6.8626717525419358E-3</v>
      </c>
      <c r="I153" s="44"/>
    </row>
    <row r="154" spans="1:13" x14ac:dyDescent="0.3">
      <c r="A154" s="97">
        <f t="shared" si="51"/>
        <v>6</v>
      </c>
      <c r="B154" s="97"/>
      <c r="C154" s="33">
        <f t="shared" si="49"/>
        <v>0</v>
      </c>
      <c r="D154" s="33">
        <f t="shared" ref="D154:H154" si="55">D131-D130</f>
        <v>2.0873929111716368E-3</v>
      </c>
      <c r="E154" s="33">
        <f t="shared" si="55"/>
        <v>1.6596850205522987E-3</v>
      </c>
      <c r="F154" s="33">
        <f t="shared" si="55"/>
        <v>2.2259954911470524E-3</v>
      </c>
      <c r="G154" s="33">
        <f t="shared" si="55"/>
        <v>3.8803560863196057E-3</v>
      </c>
      <c r="H154" s="33">
        <f t="shared" si="55"/>
        <v>6.2534215543587277E-3</v>
      </c>
      <c r="I154" s="44"/>
    </row>
    <row r="155" spans="1:13" x14ac:dyDescent="0.3">
      <c r="A155" s="97">
        <f t="shared" si="51"/>
        <v>7</v>
      </c>
      <c r="B155" s="97"/>
      <c r="C155" s="33">
        <f t="shared" si="49"/>
        <v>0</v>
      </c>
      <c r="D155" s="33">
        <f t="shared" ref="D155:H155" si="56">D132-D131</f>
        <v>1.813809463250422E-3</v>
      </c>
      <c r="E155" s="33">
        <f t="shared" si="56"/>
        <v>9.6193458484625325E-4</v>
      </c>
      <c r="F155" s="33">
        <f t="shared" si="56"/>
        <v>2.115487097228622E-3</v>
      </c>
      <c r="G155" s="33">
        <f t="shared" si="56"/>
        <v>4.2191645109636473E-3</v>
      </c>
      <c r="H155" s="33">
        <f t="shared" si="56"/>
        <v>5.0969569505462595E-3</v>
      </c>
      <c r="I155" s="44"/>
    </row>
    <row r="156" spans="1:13" x14ac:dyDescent="0.3">
      <c r="A156" s="97">
        <f t="shared" si="51"/>
        <v>8</v>
      </c>
      <c r="B156" s="97"/>
      <c r="C156" s="33">
        <f t="shared" si="49"/>
        <v>0</v>
      </c>
      <c r="D156" s="33">
        <f t="shared" ref="D156:H156" si="57">D133-D132</f>
        <v>1.5231537341510309E-3</v>
      </c>
      <c r="E156" s="33">
        <f t="shared" si="57"/>
        <v>1.354835570260708E-3</v>
      </c>
      <c r="F156" s="33">
        <f t="shared" si="57"/>
        <v>1.543771928783114E-3</v>
      </c>
      <c r="G156" s="33">
        <f t="shared" si="57"/>
        <v>3.7724456315639081E-3</v>
      </c>
      <c r="H156" s="33">
        <f t="shared" si="57"/>
        <v>5.3075835784989131E-3</v>
      </c>
      <c r="I156" s="44"/>
    </row>
    <row r="157" spans="1:13" x14ac:dyDescent="0.3">
      <c r="A157" s="97">
        <f t="shared" si="51"/>
        <v>9</v>
      </c>
      <c r="B157" s="97"/>
      <c r="C157" s="33">
        <f t="shared" si="49"/>
        <v>0</v>
      </c>
      <c r="D157" s="33">
        <f t="shared" ref="D157:H157" si="58">D134-D133</f>
        <v>1.1474172165534466E-3</v>
      </c>
      <c r="E157" s="33">
        <f t="shared" si="58"/>
        <v>8.3665996967856315E-4</v>
      </c>
      <c r="F157" s="33">
        <f t="shared" si="58"/>
        <v>1.2156640409210738E-3</v>
      </c>
      <c r="G157" s="33">
        <f t="shared" si="58"/>
        <v>3.9269329729679329E-3</v>
      </c>
      <c r="H157" s="33">
        <f t="shared" si="58"/>
        <v>5.7352693400700219E-3</v>
      </c>
      <c r="I157" s="44"/>
    </row>
    <row r="158" spans="1:13" x14ac:dyDescent="0.3">
      <c r="A158" s="97">
        <f t="shared" si="51"/>
        <v>10</v>
      </c>
      <c r="B158" s="97"/>
      <c r="C158" s="33">
        <f t="shared" si="49"/>
        <v>0</v>
      </c>
      <c r="D158" s="33">
        <f t="shared" ref="D158:H158" si="59">D135-D134</f>
        <v>1.3435176295964486E-3</v>
      </c>
      <c r="E158" s="33">
        <f t="shared" si="59"/>
        <v>1.1481073687417357E-3</v>
      </c>
      <c r="F158" s="33">
        <f t="shared" si="59"/>
        <v>1.3795923779951289E-3</v>
      </c>
      <c r="G158" s="33">
        <f t="shared" si="59"/>
        <v>3.4025661413643639E-3</v>
      </c>
      <c r="H158" s="33">
        <f t="shared" si="59"/>
        <v>4.7706561650635096E-3</v>
      </c>
      <c r="I158" s="44"/>
    </row>
    <row r="159" spans="1:13" x14ac:dyDescent="0.3">
      <c r="A159" s="39"/>
      <c r="B159" s="39"/>
      <c r="C159" s="96"/>
      <c r="D159" s="96"/>
      <c r="E159" s="96"/>
      <c r="F159" s="96"/>
      <c r="G159" s="96"/>
      <c r="H159" s="96"/>
      <c r="I159" s="44"/>
    </row>
    <row r="160" spans="1:13" x14ac:dyDescent="0.3">
      <c r="I160" s="44"/>
    </row>
    <row r="161" spans="1:47" x14ac:dyDescent="0.3">
      <c r="A161" s="157" t="s">
        <v>13</v>
      </c>
    </row>
    <row r="162" spans="1:47" x14ac:dyDescent="0.3">
      <c r="A162" s="77" t="s">
        <v>162</v>
      </c>
    </row>
    <row r="163" spans="1:47" x14ac:dyDescent="0.3">
      <c r="A163" s="42"/>
    </row>
    <row r="164" spans="1:47" x14ac:dyDescent="0.3">
      <c r="A164" s="42"/>
    </row>
    <row r="165" spans="1:47" x14ac:dyDescent="0.3">
      <c r="A165" s="56" t="s">
        <v>105</v>
      </c>
    </row>
    <row r="166" spans="1:47" x14ac:dyDescent="0.3">
      <c r="A166" s="56" t="s">
        <v>61</v>
      </c>
    </row>
    <row r="167" spans="1:47" x14ac:dyDescent="0.3">
      <c r="A167" s="56"/>
    </row>
    <row r="168" spans="1:47" x14ac:dyDescent="0.3">
      <c r="I168" s="88" t="s">
        <v>149</v>
      </c>
    </row>
    <row r="169" spans="1:47" x14ac:dyDescent="0.3">
      <c r="A169" s="97" t="s">
        <v>5</v>
      </c>
      <c r="B169" s="97" t="s">
        <v>58</v>
      </c>
      <c r="C169" s="99" t="s">
        <v>54</v>
      </c>
      <c r="D169" s="99"/>
      <c r="E169" s="99"/>
      <c r="F169" s="99"/>
      <c r="G169" s="99"/>
      <c r="H169" s="99"/>
      <c r="I169" s="88" t="s">
        <v>108</v>
      </c>
      <c r="K169" s="88"/>
    </row>
    <row r="170" spans="1:47" x14ac:dyDescent="0.3">
      <c r="A170" s="80" t="s">
        <v>57</v>
      </c>
      <c r="B170" s="80" t="s">
        <v>59</v>
      </c>
      <c r="C170" s="30" t="s">
        <v>55</v>
      </c>
      <c r="D170" s="30" t="s">
        <v>299</v>
      </c>
      <c r="E170" s="30" t="s">
        <v>34</v>
      </c>
      <c r="F170" s="30" t="s">
        <v>35</v>
      </c>
      <c r="G170" s="30" t="s">
        <v>33</v>
      </c>
      <c r="H170" s="30" t="s">
        <v>56</v>
      </c>
      <c r="I170" s="30" t="s">
        <v>41</v>
      </c>
      <c r="K170" s="28"/>
    </row>
    <row r="171" spans="1:47" x14ac:dyDescent="0.3">
      <c r="A171" s="97">
        <f>$A$24</f>
        <v>2023</v>
      </c>
      <c r="B171" s="97">
        <v>0.5</v>
      </c>
      <c r="C171" s="33">
        <f t="shared" ref="C171:C180" si="60">C24</f>
        <v>1.78923E-2</v>
      </c>
      <c r="D171" s="32">
        <v>1.908535659313202E-2</v>
      </c>
      <c r="E171" s="32">
        <v>2.2209033370018012E-2</v>
      </c>
      <c r="F171" s="32">
        <v>2.1768888831138616E-2</v>
      </c>
      <c r="G171" s="32">
        <v>2.8941014409065248E-2</v>
      </c>
      <c r="H171" s="32">
        <v>2.2752758860588081E-2</v>
      </c>
      <c r="I171" s="33">
        <f>SUMPRODUCT($C$13:$H$13,C171:H171)</f>
        <v>2.4161051511764533E-2</v>
      </c>
      <c r="K171" s="33"/>
      <c r="L171" s="37"/>
      <c r="M171" s="37"/>
    </row>
    <row r="172" spans="1:47" x14ac:dyDescent="0.3">
      <c r="A172" s="97">
        <f>+A171+1</f>
        <v>2024</v>
      </c>
      <c r="B172" s="97">
        <f>+B171+1</f>
        <v>1.5</v>
      </c>
      <c r="C172" s="33">
        <f t="shared" si="60"/>
        <v>1.8510928750038153E-2</v>
      </c>
      <c r="D172" s="32">
        <v>2.0123836398124696E-2</v>
      </c>
      <c r="E172" s="32">
        <v>2.2633835673332218E-2</v>
      </c>
      <c r="F172" s="32">
        <v>2.4136117100715639E-2</v>
      </c>
      <c r="G172" s="32">
        <v>2.642411291599274E-2</v>
      </c>
      <c r="H172" s="32">
        <v>2.553646266460419E-2</v>
      </c>
      <c r="I172" s="33">
        <f t="shared" ref="I172:I180" si="61">SUMPRODUCT($C$13:$H$13,C172:H172)</f>
        <v>2.5131671547889711E-2</v>
      </c>
      <c r="K172" s="33"/>
      <c r="L172" s="37"/>
      <c r="M172" s="37"/>
    </row>
    <row r="173" spans="1:47" x14ac:dyDescent="0.3">
      <c r="A173" s="97">
        <f t="shared" ref="A173:A180" si="62">+A172+1</f>
        <v>2025</v>
      </c>
      <c r="B173" s="97">
        <f t="shared" ref="B173:B180" si="63">+B172+1</f>
        <v>2.5</v>
      </c>
      <c r="C173" s="33">
        <f t="shared" si="60"/>
        <v>1.887854635715485E-2</v>
      </c>
      <c r="D173" s="32">
        <v>2.1225807070732117E-2</v>
      </c>
      <c r="E173" s="32">
        <v>2.2359785437583931E-2</v>
      </c>
      <c r="F173" s="32">
        <v>2.5204446911811829E-2</v>
      </c>
      <c r="G173" s="32">
        <v>2.756803929805756E-2</v>
      </c>
      <c r="H173" s="32">
        <v>2.7215245366096492E-2</v>
      </c>
      <c r="I173" s="33">
        <f t="shared" si="61"/>
        <v>2.6314012706279755E-2</v>
      </c>
      <c r="K173" s="33"/>
      <c r="L173" s="37"/>
      <c r="M173" s="37"/>
    </row>
    <row r="174" spans="1:47" x14ac:dyDescent="0.3">
      <c r="A174" s="97">
        <f t="shared" si="62"/>
        <v>2026</v>
      </c>
      <c r="B174" s="97">
        <f t="shared" si="63"/>
        <v>3.5</v>
      </c>
      <c r="C174" s="33">
        <f t="shared" si="60"/>
        <v>1.9069817662239075E-2</v>
      </c>
      <c r="D174" s="32">
        <v>2.2469744086265567E-2</v>
      </c>
      <c r="E174" s="32">
        <v>2.2956612706184387E-2</v>
      </c>
      <c r="F174" s="32">
        <v>2.6742509007453921E-2</v>
      </c>
      <c r="G174" s="32">
        <v>2.8334537148475648E-2</v>
      </c>
      <c r="H174" s="32">
        <v>2.9492631554603573E-2</v>
      </c>
      <c r="I174" s="33">
        <f t="shared" si="61"/>
        <v>2.7810089111328123E-2</v>
      </c>
      <c r="K174" s="33"/>
      <c r="L174" s="37"/>
      <c r="M174" s="37"/>
    </row>
    <row r="175" spans="1:47" x14ac:dyDescent="0.3">
      <c r="A175" s="97">
        <f t="shared" si="62"/>
        <v>2027</v>
      </c>
      <c r="B175" s="97">
        <f t="shared" si="63"/>
        <v>4.5</v>
      </c>
      <c r="C175" s="33">
        <f t="shared" si="60"/>
        <v>1.9336262345314031E-2</v>
      </c>
      <c r="D175" s="32">
        <v>2.3059621453285217E-2</v>
      </c>
      <c r="E175" s="32">
        <v>2.4448004364967343E-2</v>
      </c>
      <c r="F175" s="32">
        <v>2.7914515137672423E-2</v>
      </c>
      <c r="G175" s="32">
        <v>2.8706774115562442E-2</v>
      </c>
      <c r="H175" s="32">
        <v>2.9574105143547056E-2</v>
      </c>
      <c r="I175" s="33">
        <f t="shared" si="61"/>
        <v>2.8405218183994295E-2</v>
      </c>
      <c r="K175" s="33"/>
      <c r="L175" s="37"/>
      <c r="M175" s="37"/>
    </row>
    <row r="176" spans="1:47" x14ac:dyDescent="0.3">
      <c r="A176" s="97">
        <f t="shared" si="62"/>
        <v>2028</v>
      </c>
      <c r="B176" s="97">
        <f t="shared" si="63"/>
        <v>5.5</v>
      </c>
      <c r="C176" s="33">
        <f t="shared" si="60"/>
        <v>1.9130775332450872E-2</v>
      </c>
      <c r="D176" s="32">
        <v>2.4181595444679259E-2</v>
      </c>
      <c r="E176" s="32">
        <v>2.5798532366752631E-2</v>
      </c>
      <c r="F176" s="32">
        <v>2.7187243103981018E-2</v>
      </c>
      <c r="G176" s="32">
        <v>2.8537419438362119E-2</v>
      </c>
      <c r="H176" s="32">
        <v>3.1363424658775327E-2</v>
      </c>
      <c r="I176" s="33">
        <f t="shared" si="61"/>
        <v>2.8901972055435179E-2</v>
      </c>
      <c r="K176" s="33"/>
      <c r="L176" s="37"/>
      <c r="M176" s="37"/>
      <c r="O176" s="37"/>
      <c r="P176" s="37"/>
      <c r="AQ176" s="41" t="s">
        <v>90</v>
      </c>
      <c r="AR176" s="32">
        <v>0</v>
      </c>
      <c r="AS176" s="32">
        <v>2.0000000000000001E-4</v>
      </c>
      <c r="AT176" s="32">
        <v>5.9999999999999995E-4</v>
      </c>
      <c r="AU176" s="32">
        <v>1.6999999999999999E-3</v>
      </c>
    </row>
    <row r="177" spans="1:47" x14ac:dyDescent="0.3">
      <c r="A177" s="97">
        <f t="shared" si="62"/>
        <v>2029</v>
      </c>
      <c r="B177" s="97">
        <f t="shared" si="63"/>
        <v>6.5</v>
      </c>
      <c r="C177" s="33">
        <f t="shared" si="60"/>
        <v>1.9396647810935978E-2</v>
      </c>
      <c r="D177" s="32">
        <v>2.493951618671417E-2</v>
      </c>
      <c r="E177" s="32">
        <v>2.523845136165619E-2</v>
      </c>
      <c r="F177" s="32">
        <v>2.7393946051597597E-2</v>
      </c>
      <c r="G177" s="32">
        <v>3.0942830443382266E-2</v>
      </c>
      <c r="H177" s="32">
        <v>3.2368561625480657E-2</v>
      </c>
      <c r="I177" s="33">
        <f t="shared" si="61"/>
        <v>2.9934754610061651E-2</v>
      </c>
      <c r="K177" s="33"/>
      <c r="L177" s="37"/>
      <c r="M177" s="37"/>
      <c r="N177" s="37"/>
      <c r="O177" s="37"/>
      <c r="P177" s="37"/>
      <c r="AQ177" s="41" t="s">
        <v>91</v>
      </c>
      <c r="AR177" s="32">
        <v>0</v>
      </c>
      <c r="AS177" s="32">
        <v>0</v>
      </c>
      <c r="AT177" s="32">
        <v>0</v>
      </c>
      <c r="AU177" s="32">
        <v>6.9999999999999999E-4</v>
      </c>
    </row>
    <row r="178" spans="1:47" x14ac:dyDescent="0.3">
      <c r="A178" s="97">
        <f t="shared" si="62"/>
        <v>2030</v>
      </c>
      <c r="B178" s="97">
        <f t="shared" si="63"/>
        <v>7.5</v>
      </c>
      <c r="C178" s="33">
        <f t="shared" si="60"/>
        <v>1.9353601336479193E-2</v>
      </c>
      <c r="D178" s="32">
        <v>2.5586476922035219E-2</v>
      </c>
      <c r="E178" s="32">
        <v>2.7344015240669251E-2</v>
      </c>
      <c r="F178" s="32">
        <v>2.7897039055824281E-2</v>
      </c>
      <c r="G178" s="32">
        <v>3.0320259928703307E-2</v>
      </c>
      <c r="H178" s="32">
        <v>3.2759961485862729E-2</v>
      </c>
      <c r="I178" s="33">
        <f t="shared" si="61"/>
        <v>3.0227791607379914E-2</v>
      </c>
      <c r="K178" s="33"/>
      <c r="L178" s="37"/>
      <c r="M178" s="37"/>
      <c r="N178" s="37"/>
      <c r="O178" s="37"/>
      <c r="P178" s="37"/>
      <c r="AR178" s="32"/>
      <c r="AS178" s="32"/>
      <c r="AT178" s="32"/>
      <c r="AU178" s="32"/>
    </row>
    <row r="179" spans="1:47" x14ac:dyDescent="0.3">
      <c r="A179" s="97">
        <f t="shared" si="62"/>
        <v>2031</v>
      </c>
      <c r="B179" s="97">
        <f t="shared" si="63"/>
        <v>8.5</v>
      </c>
      <c r="C179" s="33">
        <f t="shared" si="60"/>
        <v>1.9838258624076854E-2</v>
      </c>
      <c r="D179" s="32">
        <v>2.6440557837486271E-2</v>
      </c>
      <c r="E179" s="32">
        <v>2.7483281493186948E-2</v>
      </c>
      <c r="F179" s="32">
        <v>2.8740999102592476E-2</v>
      </c>
      <c r="G179" s="32">
        <v>3.0656227469444273E-2</v>
      </c>
      <c r="H179" s="32">
        <v>3.4656998515129087E-2</v>
      </c>
      <c r="I179" s="33">
        <f t="shared" si="61"/>
        <v>3.1234668254852296E-2</v>
      </c>
      <c r="K179" s="33"/>
      <c r="L179" s="37"/>
      <c r="M179" s="37"/>
      <c r="N179" s="37"/>
      <c r="O179" s="37"/>
      <c r="P179" s="37"/>
      <c r="AQ179" s="41" t="s">
        <v>92</v>
      </c>
      <c r="AR179" s="32">
        <v>0</v>
      </c>
      <c r="AS179" s="32">
        <v>6.9999999999999999E-4</v>
      </c>
      <c r="AT179" s="32">
        <v>1E-3</v>
      </c>
      <c r="AU179" s="32">
        <v>2.5999999999999999E-3</v>
      </c>
    </row>
    <row r="180" spans="1:47" x14ac:dyDescent="0.3">
      <c r="A180" s="97">
        <f t="shared" si="62"/>
        <v>2032</v>
      </c>
      <c r="B180" s="97">
        <f t="shared" si="63"/>
        <v>9.5</v>
      </c>
      <c r="C180" s="33">
        <f t="shared" si="60"/>
        <v>2.0092156529426579E-2</v>
      </c>
      <c r="D180" s="32">
        <v>2.6625588536262516E-2</v>
      </c>
      <c r="E180" s="170">
        <v>2.8001633286476139E-2</v>
      </c>
      <c r="F180" s="32">
        <v>2.903464734554291E-2</v>
      </c>
      <c r="G180" s="32">
        <v>3.1464752554893491E-2</v>
      </c>
      <c r="H180" s="32">
        <v>3.5044327378273024E-2</v>
      </c>
      <c r="I180" s="33">
        <f t="shared" si="61"/>
        <v>3.1725493550300604E-2</v>
      </c>
      <c r="K180" s="33"/>
      <c r="L180" s="37"/>
      <c r="M180" s="37"/>
      <c r="N180" s="37"/>
      <c r="O180" s="37"/>
      <c r="P180" s="37"/>
    </row>
    <row r="181" spans="1:47" x14ac:dyDescent="0.3">
      <c r="A181" s="39"/>
      <c r="B181" s="39"/>
      <c r="C181" s="155"/>
      <c r="D181" s="155"/>
      <c r="E181" s="155"/>
      <c r="F181" s="155"/>
      <c r="G181" s="155"/>
      <c r="H181" s="155"/>
      <c r="I181" s="39"/>
      <c r="K181" s="33"/>
      <c r="N181" s="37"/>
      <c r="O181" s="37"/>
      <c r="P181" s="37"/>
    </row>
    <row r="182" spans="1:47" x14ac:dyDescent="0.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37"/>
      <c r="O182" s="37"/>
      <c r="P182" s="37"/>
    </row>
    <row r="183" spans="1:47" x14ac:dyDescent="0.3">
      <c r="A183" s="40"/>
      <c r="B183" s="40" t="s">
        <v>94</v>
      </c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37"/>
      <c r="O183" s="37"/>
      <c r="P183" s="37"/>
    </row>
    <row r="184" spans="1:47" x14ac:dyDescent="0.3">
      <c r="A184" s="40"/>
      <c r="B184" s="40"/>
      <c r="C184" s="137"/>
      <c r="D184" s="161" t="s">
        <v>14</v>
      </c>
      <c r="E184" s="107" t="s">
        <v>15</v>
      </c>
      <c r="F184" s="107" t="s">
        <v>16</v>
      </c>
      <c r="G184" s="107" t="s">
        <v>113</v>
      </c>
      <c r="H184" s="107" t="s">
        <v>114</v>
      </c>
      <c r="I184" s="107" t="s">
        <v>115</v>
      </c>
      <c r="J184" s="107" t="s">
        <v>116</v>
      </c>
      <c r="K184" s="28"/>
      <c r="L184" s="37"/>
      <c r="M184" s="37"/>
      <c r="N184" s="37"/>
    </row>
    <row r="185" spans="1:47" x14ac:dyDescent="0.3">
      <c r="A185" s="40"/>
      <c r="B185" s="88"/>
      <c r="C185" s="88"/>
      <c r="D185" s="88"/>
      <c r="E185" s="88"/>
      <c r="F185" s="88"/>
      <c r="G185" s="45" t="s">
        <v>5</v>
      </c>
      <c r="H185" s="99" t="s">
        <v>67</v>
      </c>
      <c r="I185" s="99"/>
      <c r="J185" s="99"/>
      <c r="K185" s="28"/>
      <c r="L185" s="37"/>
      <c r="M185" s="37"/>
      <c r="N185" s="37"/>
    </row>
    <row r="186" spans="1:47" x14ac:dyDescent="0.3">
      <c r="A186" s="40"/>
      <c r="B186" s="88"/>
      <c r="C186" s="28"/>
      <c r="D186" s="28"/>
      <c r="E186" s="28"/>
      <c r="F186" s="28" t="s">
        <v>145</v>
      </c>
      <c r="G186" s="45" t="s">
        <v>145</v>
      </c>
      <c r="H186" s="28"/>
      <c r="I186" s="28"/>
      <c r="J186" s="28" t="s">
        <v>18</v>
      </c>
      <c r="K186" s="28"/>
      <c r="L186" s="37"/>
    </row>
    <row r="187" spans="1:47" x14ac:dyDescent="0.3">
      <c r="A187" s="40"/>
      <c r="B187" s="30" t="s">
        <v>36</v>
      </c>
      <c r="C187" s="30" t="s">
        <v>76</v>
      </c>
      <c r="D187" s="30" t="s">
        <v>97</v>
      </c>
      <c r="E187" s="30" t="s">
        <v>144</v>
      </c>
      <c r="F187" s="30" t="s">
        <v>146</v>
      </c>
      <c r="G187" s="51" t="s">
        <v>146</v>
      </c>
      <c r="H187" s="30" t="s">
        <v>148</v>
      </c>
      <c r="I187" s="30" t="s">
        <v>57</v>
      </c>
      <c r="J187" s="30" t="s">
        <v>99</v>
      </c>
      <c r="K187" s="28"/>
    </row>
    <row r="188" spans="1:47" x14ac:dyDescent="0.3">
      <c r="A188" s="40"/>
      <c r="B188" s="98">
        <f>ValDate</f>
        <v>44926</v>
      </c>
      <c r="C188" s="162">
        <v>0</v>
      </c>
      <c r="D188" s="79"/>
      <c r="E188" s="79"/>
      <c r="G188" s="163"/>
      <c r="H188" s="92">
        <f>-F43</f>
        <v>-224001988.857636</v>
      </c>
      <c r="I188" s="79">
        <f>H188</f>
        <v>-224001988.857636</v>
      </c>
      <c r="J188" s="79">
        <f>H188</f>
        <v>-224001988.857636</v>
      </c>
      <c r="K188" s="79"/>
    </row>
    <row r="189" spans="1:47" x14ac:dyDescent="0.3">
      <c r="A189" s="40"/>
      <c r="B189" s="98">
        <f>DATE(YEAR(B188)+1,6,30)</f>
        <v>45107</v>
      </c>
      <c r="C189" s="162">
        <f>+C188+0.5</f>
        <v>0.5</v>
      </c>
      <c r="D189" s="92">
        <f>(D41*E41+D42*E42)/2</f>
        <v>4300000</v>
      </c>
      <c r="E189" s="79"/>
      <c r="F189" s="38">
        <f>F190</f>
        <v>2.2310983939539353E-4</v>
      </c>
      <c r="G189" s="129">
        <f>F189</f>
        <v>2.2310983939539353E-4</v>
      </c>
      <c r="H189" s="79">
        <f t="shared" ref="H189:H207" si="64">D189+E189</f>
        <v>4300000</v>
      </c>
      <c r="I189" s="79">
        <f t="shared" ref="I189:I207" si="65">$F$209*(D189+$E$207)</f>
        <v>78451200</v>
      </c>
      <c r="J189" s="79">
        <f>H189*(1-G189)+I189*F189</f>
        <v>4316543.862322975</v>
      </c>
      <c r="K189" s="79"/>
    </row>
    <row r="190" spans="1:47" x14ac:dyDescent="0.3">
      <c r="A190" s="40"/>
      <c r="B190" s="98">
        <f>DATE(YEAR(B189),12,31)</f>
        <v>45291</v>
      </c>
      <c r="C190" s="162">
        <f t="shared" ref="C190:C207" si="66">+C189+0.5</f>
        <v>1</v>
      </c>
      <c r="D190" s="79">
        <f>+D189</f>
        <v>4300000</v>
      </c>
      <c r="E190" s="79"/>
      <c r="F190" s="38">
        <f>SUMIFS($E$149:$E$158,$A$149:$A$158,C190)/2</f>
        <v>2.2310983939539353E-4</v>
      </c>
      <c r="G190" s="129">
        <f>G189+F190</f>
        <v>4.4621967879078707E-4</v>
      </c>
      <c r="H190" s="79">
        <f t="shared" si="64"/>
        <v>4300000</v>
      </c>
      <c r="I190" s="79">
        <f t="shared" si="65"/>
        <v>78451200</v>
      </c>
      <c r="J190" s="79">
        <f t="shared" ref="J190:J207" si="67">H190*(1-G190)+I190*F190</f>
        <v>4315584.4900135752</v>
      </c>
      <c r="K190" s="79"/>
    </row>
    <row r="191" spans="1:47" x14ac:dyDescent="0.3">
      <c r="A191" s="40"/>
      <c r="B191" s="98">
        <f t="shared" ref="B191" si="68">DATE(YEAR(B190)+1,6,30)</f>
        <v>45473</v>
      </c>
      <c r="C191" s="162">
        <f t="shared" si="66"/>
        <v>1.5</v>
      </c>
      <c r="D191" s="79">
        <f t="shared" ref="D191:D207" si="69">+D190</f>
        <v>4300000</v>
      </c>
      <c r="E191" s="79"/>
      <c r="F191" s="38">
        <f>F192</f>
        <v>2.8576102847435204E-6</v>
      </c>
      <c r="G191" s="129">
        <f t="shared" ref="G191:G207" si="70">G190+F191</f>
        <v>4.4907728907553059E-4</v>
      </c>
      <c r="H191" s="79">
        <f t="shared" si="64"/>
        <v>4300000</v>
      </c>
      <c r="I191" s="79">
        <f t="shared" si="65"/>
        <v>78451200</v>
      </c>
      <c r="J191" s="79">
        <f t="shared" si="67"/>
        <v>4298293.1506129457</v>
      </c>
      <c r="K191" s="79"/>
    </row>
    <row r="192" spans="1:47" x14ac:dyDescent="0.3">
      <c r="A192" s="40"/>
      <c r="B192" s="98">
        <f t="shared" ref="B192" si="71">DATE(YEAR(B191),12,31)</f>
        <v>45657</v>
      </c>
      <c r="C192" s="162">
        <f t="shared" si="66"/>
        <v>2</v>
      </c>
      <c r="D192" s="79">
        <f t="shared" si="69"/>
        <v>4300000</v>
      </c>
      <c r="E192" s="79"/>
      <c r="F192" s="38">
        <f>SUMIFS($E$149:$E$158,$A$149:$A$158,C192)/2</f>
        <v>2.8576102847435204E-6</v>
      </c>
      <c r="G192" s="129">
        <f t="shared" si="70"/>
        <v>4.5193489936027411E-4</v>
      </c>
      <c r="H192" s="79">
        <f t="shared" si="64"/>
        <v>4300000</v>
      </c>
      <c r="I192" s="79">
        <f t="shared" si="65"/>
        <v>78451200</v>
      </c>
      <c r="J192" s="79">
        <f t="shared" si="67"/>
        <v>4298280.8628887208</v>
      </c>
      <c r="K192" s="79"/>
    </row>
    <row r="193" spans="1:11" x14ac:dyDescent="0.3">
      <c r="A193" s="40"/>
      <c r="B193" s="98">
        <f t="shared" ref="B193" si="72">DATE(YEAR(B192)+1,6,30)</f>
        <v>45838</v>
      </c>
      <c r="C193" s="162">
        <f t="shared" si="66"/>
        <v>2.5</v>
      </c>
      <c r="D193" s="79">
        <f t="shared" si="69"/>
        <v>4300000</v>
      </c>
      <c r="E193" s="79"/>
      <c r="F193" s="38">
        <f>F194</f>
        <v>5.6948475598573504E-4</v>
      </c>
      <c r="G193" s="129">
        <f t="shared" si="70"/>
        <v>1.0214196553460092E-3</v>
      </c>
      <c r="H193" s="79">
        <f t="shared" si="64"/>
        <v>4300000</v>
      </c>
      <c r="I193" s="79">
        <f t="shared" si="65"/>
        <v>78451200</v>
      </c>
      <c r="J193" s="79">
        <f t="shared" si="67"/>
        <v>4340284.6579708001</v>
      </c>
      <c r="K193" s="79"/>
    </row>
    <row r="194" spans="1:11" x14ac:dyDescent="0.3">
      <c r="A194" s="40"/>
      <c r="B194" s="98">
        <f t="shared" ref="B194" si="73">DATE(YEAR(B193),12,31)</f>
        <v>46022</v>
      </c>
      <c r="C194" s="162">
        <f t="shared" si="66"/>
        <v>3</v>
      </c>
      <c r="D194" s="79">
        <f t="shared" si="69"/>
        <v>4300000</v>
      </c>
      <c r="E194" s="79"/>
      <c r="F194" s="38">
        <f>SUMIFS($E$149:$E$158,$A$149:$A$158,C194)/2</f>
        <v>5.6948475598573504E-4</v>
      </c>
      <c r="G194" s="129">
        <f t="shared" si="70"/>
        <v>1.5909044113317442E-3</v>
      </c>
      <c r="H194" s="79">
        <f t="shared" si="64"/>
        <v>4300000</v>
      </c>
      <c r="I194" s="79">
        <f t="shared" si="65"/>
        <v>78451200</v>
      </c>
      <c r="J194" s="79">
        <f t="shared" si="67"/>
        <v>4337835.8735200614</v>
      </c>
      <c r="K194" s="79"/>
    </row>
    <row r="195" spans="1:11" x14ac:dyDescent="0.3">
      <c r="A195" s="40"/>
      <c r="B195" s="98">
        <f t="shared" ref="B195" si="74">DATE(YEAR(B194)+1,6,30)</f>
        <v>46203</v>
      </c>
      <c r="C195" s="162">
        <f t="shared" si="66"/>
        <v>3.5</v>
      </c>
      <c r="D195" s="79">
        <f t="shared" si="69"/>
        <v>4300000</v>
      </c>
      <c r="E195" s="79"/>
      <c r="F195" s="38">
        <f>F196</f>
        <v>7.3330820363550571E-4</v>
      </c>
      <c r="G195" s="129">
        <f t="shared" si="70"/>
        <v>2.3242126149672498E-3</v>
      </c>
      <c r="H195" s="79">
        <f t="shared" si="64"/>
        <v>4300000</v>
      </c>
      <c r="I195" s="79">
        <f t="shared" si="65"/>
        <v>78451200</v>
      </c>
      <c r="J195" s="79">
        <f t="shared" si="67"/>
        <v>4347534.7943006903</v>
      </c>
      <c r="K195" s="79"/>
    </row>
    <row r="196" spans="1:11" x14ac:dyDescent="0.3">
      <c r="A196" s="40"/>
      <c r="B196" s="98">
        <f t="shared" ref="B196" si="75">DATE(YEAR(B195),12,31)</f>
        <v>46387</v>
      </c>
      <c r="C196" s="162">
        <f t="shared" si="66"/>
        <v>4</v>
      </c>
      <c r="D196" s="79">
        <f t="shared" si="69"/>
        <v>4300000</v>
      </c>
      <c r="E196" s="79"/>
      <c r="F196" s="38">
        <f>SUMIFS($E$149:$E$158,$A$149:$A$158,C196)/2</f>
        <v>7.3330820363550571E-4</v>
      </c>
      <c r="G196" s="129">
        <f t="shared" si="70"/>
        <v>3.0575208186027557E-3</v>
      </c>
      <c r="H196" s="79">
        <f t="shared" si="64"/>
        <v>4300000</v>
      </c>
      <c r="I196" s="79">
        <f t="shared" si="65"/>
        <v>78451200</v>
      </c>
      <c r="J196" s="79">
        <f t="shared" si="67"/>
        <v>4344381.5690250583</v>
      </c>
      <c r="K196" s="79"/>
    </row>
    <row r="197" spans="1:11" x14ac:dyDescent="0.3">
      <c r="A197" s="40"/>
      <c r="B197" s="98">
        <f t="shared" ref="B197" si="76">DATE(YEAR(B196)+1,6,30)</f>
        <v>46568</v>
      </c>
      <c r="C197" s="162">
        <f t="shared" si="66"/>
        <v>4.5</v>
      </c>
      <c r="D197" s="79">
        <f t="shared" si="69"/>
        <v>4300000</v>
      </c>
      <c r="E197" s="79"/>
      <c r="F197" s="38">
        <f>F198</f>
        <v>8.985024454291632E-4</v>
      </c>
      <c r="G197" s="129">
        <f t="shared" si="70"/>
        <v>3.9560232640319191E-3</v>
      </c>
      <c r="H197" s="79">
        <f t="shared" si="64"/>
        <v>4300000</v>
      </c>
      <c r="I197" s="79">
        <f t="shared" si="65"/>
        <v>78451200</v>
      </c>
      <c r="J197" s="79">
        <f t="shared" si="67"/>
        <v>4353477.6950115152</v>
      </c>
      <c r="K197" s="79"/>
    </row>
    <row r="198" spans="1:11" x14ac:dyDescent="0.3">
      <c r="A198" s="40"/>
      <c r="B198" s="98">
        <f t="shared" ref="B198" si="77">DATE(YEAR(B197),12,31)</f>
        <v>46752</v>
      </c>
      <c r="C198" s="162">
        <f t="shared" si="66"/>
        <v>5</v>
      </c>
      <c r="D198" s="79">
        <f t="shared" si="69"/>
        <v>4300000</v>
      </c>
      <c r="E198" s="79"/>
      <c r="F198" s="38">
        <f>SUMIFS($E$149:$E$158,$A$149:$A$158,C198)/2</f>
        <v>8.985024454291632E-4</v>
      </c>
      <c r="G198" s="129">
        <f t="shared" si="70"/>
        <v>4.8545257094610821E-3</v>
      </c>
      <c r="H198" s="79">
        <f t="shared" si="64"/>
        <v>4300000</v>
      </c>
      <c r="I198" s="79">
        <f t="shared" si="65"/>
        <v>78451200</v>
      </c>
      <c r="J198" s="79">
        <f t="shared" si="67"/>
        <v>4349614.1344961701</v>
      </c>
      <c r="K198" s="79"/>
    </row>
    <row r="199" spans="1:11" x14ac:dyDescent="0.3">
      <c r="B199" s="98">
        <f t="shared" ref="B199" si="78">DATE(YEAR(B198)+1,6,30)</f>
        <v>46934</v>
      </c>
      <c r="C199" s="162">
        <f t="shared" si="66"/>
        <v>5.5</v>
      </c>
      <c r="D199" s="79">
        <f t="shared" si="69"/>
        <v>4300000</v>
      </c>
      <c r="E199" s="79"/>
      <c r="F199" s="38">
        <f>F200</f>
        <v>8.2984251027614937E-4</v>
      </c>
      <c r="G199" s="129">
        <f t="shared" si="70"/>
        <v>5.6843682197372314E-3</v>
      </c>
      <c r="H199" s="79">
        <f t="shared" si="64"/>
        <v>4300000</v>
      </c>
      <c r="I199" s="79">
        <f t="shared" si="65"/>
        <v>78451200</v>
      </c>
      <c r="J199" s="79">
        <f t="shared" si="67"/>
        <v>4340659.3573973058</v>
      </c>
      <c r="K199" s="79"/>
    </row>
    <row r="200" spans="1:11" x14ac:dyDescent="0.3">
      <c r="B200" s="98">
        <f t="shared" ref="B200" si="79">DATE(YEAR(B199),12,31)</f>
        <v>47118</v>
      </c>
      <c r="C200" s="162">
        <f t="shared" si="66"/>
        <v>6</v>
      </c>
      <c r="D200" s="79">
        <f t="shared" si="69"/>
        <v>4300000</v>
      </c>
      <c r="E200" s="79"/>
      <c r="F200" s="38">
        <f>SUMIFS($E$149:$E$158,$A$149:$A$158,C200)/2</f>
        <v>8.2984251027614937E-4</v>
      </c>
      <c r="G200" s="129">
        <f t="shared" si="70"/>
        <v>6.5142107300133808E-3</v>
      </c>
      <c r="H200" s="79">
        <f t="shared" si="64"/>
        <v>4300000</v>
      </c>
      <c r="I200" s="79">
        <f t="shared" si="65"/>
        <v>78451200</v>
      </c>
      <c r="J200" s="79">
        <f t="shared" si="67"/>
        <v>4337091.0346031189</v>
      </c>
      <c r="K200" s="79"/>
    </row>
    <row r="201" spans="1:11" x14ac:dyDescent="0.3">
      <c r="B201" s="98">
        <f t="shared" ref="B201" si="80">DATE(YEAR(B200)+1,6,30)</f>
        <v>47299</v>
      </c>
      <c r="C201" s="162">
        <f t="shared" si="66"/>
        <v>6.5</v>
      </c>
      <c r="D201" s="79">
        <f t="shared" si="69"/>
        <v>4300000</v>
      </c>
      <c r="E201" s="79"/>
      <c r="F201" s="38">
        <f>F202</f>
        <v>4.8096729242312663E-4</v>
      </c>
      <c r="G201" s="129">
        <f t="shared" si="70"/>
        <v>6.995178022436507E-3</v>
      </c>
      <c r="H201" s="79">
        <f t="shared" si="64"/>
        <v>4300000</v>
      </c>
      <c r="I201" s="79">
        <f t="shared" si="65"/>
        <v>78451200</v>
      </c>
      <c r="J201" s="79">
        <f t="shared" si="67"/>
        <v>4307653.195754868</v>
      </c>
      <c r="K201" s="79"/>
    </row>
    <row r="202" spans="1:11" x14ac:dyDescent="0.3">
      <c r="B202" s="98">
        <f t="shared" ref="B202" si="81">DATE(YEAR(B201),12,31)</f>
        <v>47483</v>
      </c>
      <c r="C202" s="162">
        <f t="shared" si="66"/>
        <v>7</v>
      </c>
      <c r="D202" s="79">
        <f t="shared" si="69"/>
        <v>4300000</v>
      </c>
      <c r="E202" s="79"/>
      <c r="F202" s="38">
        <f>SUMIFS($E$149:$E$158,$A$149:$A$158,C202)/2</f>
        <v>4.8096729242312663E-4</v>
      </c>
      <c r="G202" s="129">
        <f t="shared" si="70"/>
        <v>7.4761453148596332E-3</v>
      </c>
      <c r="H202" s="79">
        <f t="shared" si="64"/>
        <v>4300000</v>
      </c>
      <c r="I202" s="79">
        <f t="shared" si="65"/>
        <v>78451200</v>
      </c>
      <c r="J202" s="79">
        <f t="shared" si="67"/>
        <v>4305585.0363974487</v>
      </c>
      <c r="K202" s="79"/>
    </row>
    <row r="203" spans="1:11" x14ac:dyDescent="0.3">
      <c r="B203" s="98">
        <f t="shared" ref="B203:B207" si="82">DATE(YEAR(B202)+1,6,30)</f>
        <v>47664</v>
      </c>
      <c r="C203" s="162">
        <f t="shared" si="66"/>
        <v>7.5</v>
      </c>
      <c r="D203" s="79">
        <f t="shared" si="69"/>
        <v>4300000</v>
      </c>
      <c r="E203" s="79"/>
      <c r="F203" s="38">
        <f>F204</f>
        <v>6.77417785130354E-4</v>
      </c>
      <c r="G203" s="129">
        <f t="shared" si="70"/>
        <v>8.1535630999899876E-3</v>
      </c>
      <c r="H203" s="79">
        <f t="shared" si="64"/>
        <v>4300000</v>
      </c>
      <c r="I203" s="79">
        <f t="shared" si="65"/>
        <v>78451200</v>
      </c>
      <c r="J203" s="79">
        <f t="shared" si="67"/>
        <v>4318083.9168148618</v>
      </c>
      <c r="K203" s="79"/>
    </row>
    <row r="204" spans="1:11" x14ac:dyDescent="0.3">
      <c r="A204" s="42"/>
      <c r="B204" s="98">
        <f t="shared" ref="B204:B206" si="83">DATE(YEAR(B203),12,31)</f>
        <v>47848</v>
      </c>
      <c r="C204" s="162">
        <f t="shared" si="66"/>
        <v>8</v>
      </c>
      <c r="D204" s="79">
        <f t="shared" si="69"/>
        <v>4300000</v>
      </c>
      <c r="E204" s="79"/>
      <c r="F204" s="38">
        <f>SUMIFS($E$149:$E$158,$A$149:$A$158,C204)/2</f>
        <v>6.77417785130354E-4</v>
      </c>
      <c r="G204" s="129">
        <f t="shared" si="70"/>
        <v>8.830980885120342E-3</v>
      </c>
      <c r="H204" s="79">
        <f t="shared" si="64"/>
        <v>4300000</v>
      </c>
      <c r="I204" s="79">
        <f t="shared" si="65"/>
        <v>78451200</v>
      </c>
      <c r="J204" s="79">
        <f t="shared" si="67"/>
        <v>4315171.0203388007</v>
      </c>
      <c r="K204" s="79"/>
    </row>
    <row r="205" spans="1:11" x14ac:dyDescent="0.3">
      <c r="A205" s="42"/>
      <c r="B205" s="98">
        <f t="shared" si="82"/>
        <v>48029</v>
      </c>
      <c r="C205" s="162">
        <f t="shared" si="66"/>
        <v>8.5</v>
      </c>
      <c r="D205" s="79">
        <f t="shared" si="69"/>
        <v>4300000</v>
      </c>
      <c r="E205" s="79"/>
      <c r="F205" s="38">
        <f>F206</f>
        <v>4.1832998483928158E-4</v>
      </c>
      <c r="G205" s="129">
        <f t="shared" si="70"/>
        <v>9.2493108699596236E-3</v>
      </c>
      <c r="H205" s="79">
        <f t="shared" si="64"/>
        <v>4300000</v>
      </c>
      <c r="I205" s="79">
        <f t="shared" si="65"/>
        <v>78451200</v>
      </c>
      <c r="J205" s="79">
        <f t="shared" ref="J205:J206" si="84">H205*(1-G205)+I205*F205</f>
        <v>4293046.4525657967</v>
      </c>
      <c r="K205" s="79"/>
    </row>
    <row r="206" spans="1:11" x14ac:dyDescent="0.3">
      <c r="A206" s="42"/>
      <c r="B206" s="98">
        <f t="shared" si="83"/>
        <v>48213</v>
      </c>
      <c r="C206" s="162">
        <f t="shared" si="66"/>
        <v>9</v>
      </c>
      <c r="D206" s="79">
        <f t="shared" si="69"/>
        <v>4300000</v>
      </c>
      <c r="E206" s="79"/>
      <c r="F206" s="38">
        <f>SUMIFS($E$149:$E$158,$A$149:$A$158,C206)/2</f>
        <v>4.1832998483928158E-4</v>
      </c>
      <c r="G206" s="129">
        <f t="shared" si="70"/>
        <v>9.6676408547989052E-3</v>
      </c>
      <c r="H206" s="79">
        <f t="shared" si="64"/>
        <v>4300000</v>
      </c>
      <c r="I206" s="79">
        <f t="shared" si="65"/>
        <v>78451200</v>
      </c>
      <c r="J206" s="79">
        <f t="shared" si="84"/>
        <v>4291247.6336309882</v>
      </c>
      <c r="K206" s="79"/>
    </row>
    <row r="207" spans="1:11" x14ac:dyDescent="0.3">
      <c r="A207" s="42"/>
      <c r="B207" s="98">
        <f t="shared" si="82"/>
        <v>48395</v>
      </c>
      <c r="C207" s="162">
        <f t="shared" si="66"/>
        <v>9.5</v>
      </c>
      <c r="D207" s="79">
        <f t="shared" si="69"/>
        <v>4300000</v>
      </c>
      <c r="E207" s="79">
        <f>SUM(E41:E42)</f>
        <v>200000000</v>
      </c>
      <c r="F207" s="32">
        <f>SUMIFS($E$149:$E$158,$A$149:$A$158,C207+0.5)/2</f>
        <v>5.7405368437086785E-4</v>
      </c>
      <c r="G207" s="129">
        <f t="shared" si="70"/>
        <v>1.0241694539169774E-2</v>
      </c>
      <c r="H207" s="79">
        <f t="shared" si="64"/>
        <v>204300000</v>
      </c>
      <c r="I207" s="79">
        <f t="shared" si="65"/>
        <v>78451200</v>
      </c>
      <c r="J207" s="79">
        <f t="shared" si="67"/>
        <v>202252657.00605091</v>
      </c>
      <c r="K207" s="79"/>
    </row>
    <row r="208" spans="1:11" x14ac:dyDescent="0.3">
      <c r="A208" s="42"/>
      <c r="B208" s="94"/>
      <c r="C208" s="164"/>
      <c r="D208" s="155"/>
      <c r="E208" s="155"/>
      <c r="F208" s="96"/>
      <c r="G208" s="158"/>
      <c r="H208" s="57"/>
      <c r="I208" s="57"/>
      <c r="J208" s="57"/>
      <c r="K208" s="59"/>
    </row>
    <row r="209" spans="1:13" x14ac:dyDescent="0.3">
      <c r="A209" s="42"/>
      <c r="B209" s="115" t="s">
        <v>214</v>
      </c>
      <c r="F209" s="165">
        <v>0.38400000000000001</v>
      </c>
      <c r="G209" s="52"/>
      <c r="H209" s="55"/>
      <c r="I209" s="55"/>
      <c r="J209" s="55"/>
      <c r="K209" s="55"/>
    </row>
    <row r="210" spans="1:13" x14ac:dyDescent="0.3">
      <c r="A210" s="42"/>
      <c r="B210" s="98"/>
      <c r="C210" s="162"/>
      <c r="D210" s="166"/>
      <c r="E210" s="166"/>
      <c r="F210" s="38"/>
      <c r="G210" s="52"/>
      <c r="H210" s="55"/>
      <c r="I210" s="55"/>
      <c r="J210" s="55"/>
      <c r="K210" s="55"/>
    </row>
    <row r="211" spans="1:13" x14ac:dyDescent="0.3">
      <c r="B211" s="167" t="s">
        <v>215</v>
      </c>
      <c r="C211" s="40"/>
      <c r="D211" s="40"/>
      <c r="E211" s="40"/>
      <c r="F211" s="40"/>
      <c r="H211" s="100">
        <f>XIRR(H188:H207,$B$188:$B$207)</f>
        <v>2.8682407736778257E-2</v>
      </c>
      <c r="I211" s="40"/>
      <c r="J211" s="100">
        <f>XIRR(J188:J207,$B$188:$B$207)</f>
        <v>2.7991309762001038E-2</v>
      </c>
      <c r="K211" s="100"/>
    </row>
    <row r="214" spans="1:13" x14ac:dyDescent="0.3">
      <c r="A214" s="42"/>
      <c r="B214" s="98"/>
      <c r="C214" s="162"/>
      <c r="D214" s="162"/>
      <c r="E214" s="166"/>
      <c r="F214" s="166"/>
      <c r="G214" s="166"/>
      <c r="H214" s="38"/>
      <c r="I214" s="52"/>
      <c r="J214" s="55"/>
      <c r="K214" s="55"/>
      <c r="L214" s="55"/>
      <c r="M214" s="55"/>
    </row>
    <row r="215" spans="1:13" x14ac:dyDescent="0.3">
      <c r="A215" s="42"/>
      <c r="B215" s="98"/>
      <c r="C215" s="162"/>
      <c r="D215" s="162"/>
      <c r="E215" s="166"/>
      <c r="F215" s="166"/>
      <c r="G215" s="166"/>
      <c r="H215" s="38"/>
      <c r="I215" s="52"/>
      <c r="J215" s="55"/>
      <c r="K215" s="55"/>
      <c r="L215" s="55"/>
      <c r="M215" s="55"/>
    </row>
    <row r="216" spans="1:13" x14ac:dyDescent="0.3">
      <c r="A216" s="56" t="s">
        <v>13</v>
      </c>
      <c r="B216" s="98"/>
      <c r="C216" s="162"/>
      <c r="D216" s="162"/>
      <c r="E216" s="166"/>
      <c r="F216" s="166"/>
      <c r="G216" s="166"/>
      <c r="H216" s="38"/>
      <c r="I216" s="52"/>
      <c r="J216" s="55"/>
      <c r="K216" s="55"/>
      <c r="L216" s="55"/>
      <c r="M216" s="55"/>
    </row>
    <row r="217" spans="1:13" x14ac:dyDescent="0.3">
      <c r="A217" s="42" t="s">
        <v>143</v>
      </c>
      <c r="B217" s="98"/>
      <c r="C217" s="162"/>
      <c r="D217" s="162"/>
      <c r="E217" s="166"/>
      <c r="F217" s="166"/>
      <c r="G217" s="166"/>
      <c r="H217" s="38"/>
      <c r="I217" s="52"/>
      <c r="J217" s="55"/>
      <c r="K217" s="55"/>
      <c r="L217" s="55"/>
      <c r="M217" s="55"/>
    </row>
    <row r="218" spans="1:13" x14ac:dyDescent="0.3">
      <c r="A218" s="42" t="s">
        <v>199</v>
      </c>
      <c r="B218" s="98"/>
      <c r="C218" s="162"/>
      <c r="D218" s="162"/>
      <c r="E218" s="166"/>
      <c r="F218" s="166"/>
      <c r="G218" s="166"/>
      <c r="H218" s="38"/>
      <c r="I218" s="52"/>
      <c r="J218" s="55"/>
      <c r="K218" s="55"/>
      <c r="L218" s="55"/>
      <c r="M218" s="55"/>
    </row>
    <row r="219" spans="1:13" x14ac:dyDescent="0.3">
      <c r="A219" s="77" t="s">
        <v>210</v>
      </c>
      <c r="B219" s="98"/>
      <c r="C219" s="162"/>
      <c r="D219" s="162"/>
      <c r="E219" s="166"/>
      <c r="F219" s="166"/>
      <c r="G219" s="166"/>
      <c r="H219" s="38"/>
      <c r="I219" s="52"/>
      <c r="J219" s="55"/>
      <c r="K219" s="55"/>
      <c r="L219" s="55"/>
      <c r="M219" s="55"/>
    </row>
    <row r="220" spans="1:13" x14ac:dyDescent="0.3">
      <c r="A220" s="77" t="s">
        <v>209</v>
      </c>
      <c r="B220" s="98"/>
      <c r="C220" s="162"/>
      <c r="D220" s="162"/>
      <c r="E220" s="166"/>
      <c r="F220" s="166"/>
      <c r="G220" s="166"/>
      <c r="H220" s="38"/>
      <c r="I220" s="52"/>
      <c r="J220" s="55"/>
      <c r="K220" s="55"/>
      <c r="L220" s="55"/>
      <c r="M220" s="55"/>
    </row>
    <row r="221" spans="1:13" x14ac:dyDescent="0.3">
      <c r="A221" s="77" t="s">
        <v>211</v>
      </c>
      <c r="B221" s="98"/>
      <c r="C221" s="162"/>
      <c r="D221" s="162"/>
      <c r="E221" s="166"/>
      <c r="F221" s="166"/>
      <c r="G221" s="166"/>
      <c r="H221" s="38"/>
      <c r="I221" s="52"/>
      <c r="J221" s="55"/>
      <c r="K221" s="55"/>
      <c r="L221" s="55"/>
      <c r="M221" s="55"/>
    </row>
    <row r="222" spans="1:13" x14ac:dyDescent="0.3">
      <c r="A222" s="77" t="s">
        <v>212</v>
      </c>
      <c r="B222" s="98"/>
      <c r="C222" s="162"/>
      <c r="D222" s="162"/>
      <c r="E222" s="166"/>
      <c r="F222" s="166"/>
      <c r="G222" s="166"/>
      <c r="H222" s="38"/>
      <c r="I222" s="52"/>
      <c r="J222" s="55"/>
      <c r="K222" s="55"/>
      <c r="L222" s="55"/>
      <c r="M222" s="55"/>
    </row>
    <row r="223" spans="1:13" x14ac:dyDescent="0.3">
      <c r="A223" s="77" t="s">
        <v>213</v>
      </c>
      <c r="B223" s="98"/>
      <c r="C223" s="162"/>
      <c r="D223" s="162"/>
      <c r="E223" s="166"/>
      <c r="F223" s="166"/>
      <c r="G223" s="166"/>
      <c r="H223" s="38"/>
      <c r="I223" s="52"/>
      <c r="J223" s="55"/>
      <c r="K223" s="55"/>
      <c r="L223" s="55"/>
      <c r="M223" s="55"/>
    </row>
    <row r="224" spans="1:13" x14ac:dyDescent="0.3">
      <c r="A224" s="77" t="s">
        <v>216</v>
      </c>
      <c r="B224" s="98"/>
      <c r="C224" s="162"/>
      <c r="D224" s="162"/>
      <c r="E224" s="166"/>
      <c r="F224" s="166"/>
      <c r="G224" s="166"/>
      <c r="H224" s="38"/>
      <c r="I224" s="52"/>
      <c r="J224" s="55"/>
      <c r="K224" s="55"/>
      <c r="L224" s="55"/>
      <c r="M224" s="55"/>
    </row>
    <row r="225" spans="1:13" x14ac:dyDescent="0.3">
      <c r="A225" s="77" t="s">
        <v>217</v>
      </c>
      <c r="B225" s="98"/>
      <c r="C225" s="162"/>
      <c r="D225" s="162"/>
      <c r="E225" s="166"/>
      <c r="F225" s="166"/>
      <c r="G225" s="166"/>
      <c r="H225" s="38"/>
      <c r="I225" s="52"/>
      <c r="J225" s="55"/>
      <c r="K225" s="55"/>
      <c r="L225" s="55"/>
      <c r="M225" s="55"/>
    </row>
    <row r="226" spans="1:13" x14ac:dyDescent="0.3">
      <c r="A226" s="77" t="s">
        <v>218</v>
      </c>
      <c r="B226" s="98"/>
      <c r="C226" s="162"/>
      <c r="D226" s="162"/>
      <c r="E226" s="166"/>
      <c r="F226" s="166"/>
      <c r="G226" s="166"/>
      <c r="H226" s="38"/>
      <c r="I226" s="52"/>
      <c r="J226" s="55"/>
      <c r="K226" s="55"/>
      <c r="L226" s="55"/>
      <c r="M226" s="55"/>
    </row>
    <row r="227" spans="1:13" x14ac:dyDescent="0.3">
      <c r="A227" s="77" t="s">
        <v>219</v>
      </c>
      <c r="B227" s="98"/>
      <c r="C227" s="162"/>
      <c r="D227" s="162"/>
      <c r="E227" s="166"/>
      <c r="F227" s="166"/>
      <c r="G227" s="166"/>
      <c r="H227" s="38"/>
      <c r="I227" s="52"/>
      <c r="J227" s="55"/>
      <c r="K227" s="55"/>
      <c r="L227" s="55"/>
      <c r="M227" s="55"/>
    </row>
    <row r="228" spans="1:13" x14ac:dyDescent="0.3">
      <c r="A228" s="77"/>
      <c r="B228" s="98"/>
      <c r="C228" s="162"/>
      <c r="D228" s="162"/>
      <c r="E228" s="166"/>
      <c r="F228" s="166"/>
      <c r="G228" s="166"/>
      <c r="H228" s="38"/>
      <c r="I228" s="52"/>
      <c r="J228" s="55"/>
      <c r="K228" s="55"/>
      <c r="L228" s="55"/>
      <c r="M228" s="55"/>
    </row>
    <row r="229" spans="1:13" x14ac:dyDescent="0.3">
      <c r="A229" s="42"/>
      <c r="B229" s="98"/>
      <c r="C229" s="162"/>
      <c r="D229" s="162"/>
      <c r="E229" s="166"/>
      <c r="F229" s="166"/>
      <c r="G229" s="166"/>
      <c r="H229" s="38"/>
      <c r="I229" s="52"/>
      <c r="J229" s="55"/>
      <c r="K229" s="55"/>
      <c r="L229" s="55"/>
      <c r="M229" s="55"/>
    </row>
    <row r="230" spans="1:13" x14ac:dyDescent="0.3">
      <c r="A230" s="56" t="s">
        <v>147</v>
      </c>
    </row>
    <row r="231" spans="1:13" x14ac:dyDescent="0.3">
      <c r="A231" s="56" t="s">
        <v>121</v>
      </c>
    </row>
    <row r="232" spans="1:13" x14ac:dyDescent="0.3">
      <c r="I232" s="88" t="s">
        <v>149</v>
      </c>
    </row>
    <row r="233" spans="1:13" x14ac:dyDescent="0.3">
      <c r="A233" s="97" t="s">
        <v>5</v>
      </c>
      <c r="B233" s="97" t="s">
        <v>58</v>
      </c>
      <c r="C233" s="99" t="s">
        <v>54</v>
      </c>
      <c r="D233" s="99"/>
      <c r="E233" s="99"/>
      <c r="F233" s="99"/>
      <c r="G233" s="99"/>
      <c r="H233" s="99"/>
      <c r="I233" s="88" t="s">
        <v>108</v>
      </c>
    </row>
    <row r="234" spans="1:13" x14ac:dyDescent="0.3">
      <c r="A234" s="80" t="s">
        <v>57</v>
      </c>
      <c r="B234" s="80" t="s">
        <v>59</v>
      </c>
      <c r="C234" s="30" t="s">
        <v>55</v>
      </c>
      <c r="D234" s="30" t="s">
        <v>299</v>
      </c>
      <c r="E234" s="30" t="s">
        <v>34</v>
      </c>
      <c r="F234" s="30" t="s">
        <v>35</v>
      </c>
      <c r="G234" s="30" t="s">
        <v>33</v>
      </c>
      <c r="H234" s="30" t="s">
        <v>56</v>
      </c>
      <c r="I234" s="30" t="s">
        <v>41</v>
      </c>
    </row>
    <row r="235" spans="1:13" x14ac:dyDescent="0.3">
      <c r="A235" s="97">
        <f>$A$24</f>
        <v>2023</v>
      </c>
      <c r="B235" s="97">
        <v>0.5</v>
      </c>
      <c r="C235" s="101">
        <f t="shared" ref="C235:C244" si="85">10000*(C24-C171)</f>
        <v>0</v>
      </c>
      <c r="D235" s="101">
        <f t="shared" ref="D235:H235" si="86">10000*(D24-D171)</f>
        <v>5.9916973114013468</v>
      </c>
      <c r="E235" s="101">
        <f t="shared" si="86"/>
        <v>5.6408047676085804</v>
      </c>
      <c r="F235" s="101">
        <f t="shared" si="86"/>
        <v>6.8169832229614258</v>
      </c>
      <c r="G235" s="101">
        <f t="shared" si="86"/>
        <v>19.291400909423778</v>
      </c>
      <c r="H235" s="101">
        <f t="shared" si="86"/>
        <v>57.254612445831256</v>
      </c>
      <c r="I235" s="101">
        <f t="shared" ref="I235:I244" si="87">10000*(I24-I171)</f>
        <v>27.857134342193572</v>
      </c>
    </row>
    <row r="236" spans="1:13" x14ac:dyDescent="0.3">
      <c r="A236" s="97">
        <f>+A235+1</f>
        <v>2024</v>
      </c>
      <c r="B236" s="97">
        <f>+B235+1</f>
        <v>1.5</v>
      </c>
      <c r="C236" s="101">
        <f t="shared" si="85"/>
        <v>0</v>
      </c>
      <c r="D236" s="101">
        <f t="shared" ref="D236:H236" si="88">10000*(D25-D172)</f>
        <v>5.6193470954895437</v>
      </c>
      <c r="E236" s="101">
        <f t="shared" si="88"/>
        <v>2.1030902862548966</v>
      </c>
      <c r="F236" s="101">
        <f t="shared" si="88"/>
        <v>7.4442028999328889</v>
      </c>
      <c r="G236" s="101">
        <f t="shared" si="88"/>
        <v>17.315208911895773</v>
      </c>
      <c r="H236" s="101">
        <f t="shared" si="88"/>
        <v>56.196987628936711</v>
      </c>
      <c r="I236" s="101">
        <f t="shared" si="87"/>
        <v>26.790859103202855</v>
      </c>
    </row>
    <row r="237" spans="1:13" x14ac:dyDescent="0.3">
      <c r="A237" s="97">
        <f t="shared" ref="A237:B244" si="89">+A236+1</f>
        <v>2025</v>
      </c>
      <c r="B237" s="97">
        <f t="shared" si="89"/>
        <v>2.5</v>
      </c>
      <c r="C237" s="101">
        <f t="shared" si="85"/>
        <v>0</v>
      </c>
      <c r="D237" s="101">
        <f t="shared" ref="D237:H237" si="90">10000*(D26-D173)</f>
        <v>8.4755420684814666</v>
      </c>
      <c r="E237" s="101">
        <f t="shared" si="90"/>
        <v>4.6339035034178782</v>
      </c>
      <c r="F237" s="101">
        <f t="shared" si="90"/>
        <v>9.2416405677795552</v>
      </c>
      <c r="G237" s="101">
        <f t="shared" si="90"/>
        <v>20.081698894500629</v>
      </c>
      <c r="H237" s="101">
        <f t="shared" si="90"/>
        <v>51.922619342803998</v>
      </c>
      <c r="I237" s="101">
        <f t="shared" si="87"/>
        <v>26.80050313472751</v>
      </c>
    </row>
    <row r="238" spans="1:13" x14ac:dyDescent="0.3">
      <c r="A238" s="97">
        <f t="shared" si="89"/>
        <v>2026</v>
      </c>
      <c r="B238" s="97">
        <f t="shared" si="89"/>
        <v>3.5</v>
      </c>
      <c r="C238" s="101">
        <f t="shared" si="85"/>
        <v>0</v>
      </c>
      <c r="D238" s="101">
        <f t="shared" ref="D238:H238" si="91">10000*(D27-D174)</f>
        <v>10.318636894226033</v>
      </c>
      <c r="E238" s="101">
        <f t="shared" si="91"/>
        <v>6.4429640769958496</v>
      </c>
      <c r="F238" s="101">
        <f t="shared" si="91"/>
        <v>11.625230312347426</v>
      </c>
      <c r="G238" s="101">
        <f t="shared" si="91"/>
        <v>21.71677350997922</v>
      </c>
      <c r="H238" s="101">
        <f t="shared" si="91"/>
        <v>57.490527629852387</v>
      </c>
      <c r="I238" s="101">
        <f t="shared" si="87"/>
        <v>30.037312507629441</v>
      </c>
    </row>
    <row r="239" spans="1:13" x14ac:dyDescent="0.3">
      <c r="A239" s="97">
        <f t="shared" si="89"/>
        <v>2027</v>
      </c>
      <c r="B239" s="97">
        <f t="shared" si="89"/>
        <v>4.5</v>
      </c>
      <c r="C239" s="101">
        <f t="shared" si="85"/>
        <v>0</v>
      </c>
      <c r="D239" s="101">
        <f t="shared" ref="D239:H239" si="92">10000*(D28-D175)</f>
        <v>12.790739536285393</v>
      </c>
      <c r="E239" s="101">
        <f t="shared" si="92"/>
        <v>8.1145167350769523</v>
      </c>
      <c r="F239" s="101">
        <f t="shared" si="92"/>
        <v>12.971699237823465</v>
      </c>
      <c r="G239" s="101">
        <f t="shared" si="92"/>
        <v>24.238169193267801</v>
      </c>
      <c r="H239" s="101">
        <f t="shared" si="92"/>
        <v>66.399097442627024</v>
      </c>
      <c r="I239" s="101">
        <f t="shared" si="87"/>
        <v>34.388753771781921</v>
      </c>
    </row>
    <row r="240" spans="1:13" x14ac:dyDescent="0.3">
      <c r="A240" s="97">
        <f t="shared" si="89"/>
        <v>2028</v>
      </c>
      <c r="B240" s="97">
        <f t="shared" si="89"/>
        <v>5.5</v>
      </c>
      <c r="C240" s="101">
        <f t="shared" si="85"/>
        <v>0</v>
      </c>
      <c r="D240" s="101">
        <f t="shared" ref="D240:H240" si="93">10000*(D29-D176)</f>
        <v>12.651085853576625</v>
      </c>
      <c r="E240" s="101">
        <f t="shared" si="93"/>
        <v>9.0621113777160023</v>
      </c>
      <c r="F240" s="101">
        <f t="shared" si="93"/>
        <v>13.561248779296875</v>
      </c>
      <c r="G240" s="101">
        <f t="shared" si="93"/>
        <v>26.984810829162598</v>
      </c>
      <c r="H240" s="101">
        <f t="shared" si="93"/>
        <v>60.384929180145321</v>
      </c>
      <c r="I240" s="101">
        <f t="shared" si="87"/>
        <v>33.303211927413926</v>
      </c>
    </row>
    <row r="241" spans="1:23" x14ac:dyDescent="0.3">
      <c r="A241" s="97">
        <f t="shared" si="89"/>
        <v>2029</v>
      </c>
      <c r="B241" s="97">
        <f t="shared" si="89"/>
        <v>6.5</v>
      </c>
      <c r="C241" s="101">
        <f t="shared" si="85"/>
        <v>0</v>
      </c>
      <c r="D241" s="101">
        <f t="shared" ref="D241:H241" si="94">10000*(D30-D177)</f>
        <v>15.920639038085952</v>
      </c>
      <c r="E241" s="101">
        <f t="shared" si="94"/>
        <v>9.6619725227356508</v>
      </c>
      <c r="F241" s="101">
        <f t="shared" si="94"/>
        <v>15.865385532379157</v>
      </c>
      <c r="G241" s="101">
        <f t="shared" si="94"/>
        <v>31.859338283538875</v>
      </c>
      <c r="H241" s="101">
        <f t="shared" si="94"/>
        <v>60.33349037170413</v>
      </c>
      <c r="I241" s="101">
        <f t="shared" si="87"/>
        <v>35.349221825599663</v>
      </c>
    </row>
    <row r="242" spans="1:23" x14ac:dyDescent="0.3">
      <c r="A242" s="97">
        <f t="shared" si="89"/>
        <v>2030</v>
      </c>
      <c r="B242" s="97">
        <f t="shared" si="89"/>
        <v>7.5</v>
      </c>
      <c r="C242" s="101">
        <f t="shared" si="85"/>
        <v>0</v>
      </c>
      <c r="D242" s="101">
        <f t="shared" ref="D242:H242" si="95">10000*(D31-D178)</f>
        <v>17.507672309875417</v>
      </c>
      <c r="E242" s="101">
        <f t="shared" si="95"/>
        <v>9.9061131477356028</v>
      </c>
      <c r="F242" s="101">
        <f t="shared" si="95"/>
        <v>15.315890312194783</v>
      </c>
      <c r="G242" s="101">
        <f t="shared" si="95"/>
        <v>32.178342342376908</v>
      </c>
      <c r="H242" s="101">
        <f t="shared" si="95"/>
        <v>59.881329536438102</v>
      </c>
      <c r="I242" s="101">
        <f t="shared" si="87"/>
        <v>35.148400664329614</v>
      </c>
    </row>
    <row r="243" spans="1:23" x14ac:dyDescent="0.3">
      <c r="A243" s="97">
        <f t="shared" si="89"/>
        <v>2031</v>
      </c>
      <c r="B243" s="97">
        <f t="shared" si="89"/>
        <v>8.5</v>
      </c>
      <c r="C243" s="101">
        <f t="shared" si="85"/>
        <v>0</v>
      </c>
      <c r="D243" s="101">
        <f t="shared" ref="D243:H243" si="96">10000*(D32-D179)</f>
        <v>16.134560108184807</v>
      </c>
      <c r="E243" s="101">
        <f t="shared" si="96"/>
        <v>10.208070278167787</v>
      </c>
      <c r="F243" s="101">
        <f t="shared" si="96"/>
        <v>14.719724655151284</v>
      </c>
      <c r="G243" s="101">
        <f t="shared" si="96"/>
        <v>31.92245960235606</v>
      </c>
      <c r="H243" s="101">
        <f t="shared" si="96"/>
        <v>63.450038433075093</v>
      </c>
      <c r="I243" s="101">
        <f t="shared" si="87"/>
        <v>36.186051368713478</v>
      </c>
    </row>
    <row r="244" spans="1:23" x14ac:dyDescent="0.3">
      <c r="A244" s="97">
        <f t="shared" si="89"/>
        <v>2032</v>
      </c>
      <c r="B244" s="97">
        <f t="shared" si="89"/>
        <v>9.5</v>
      </c>
      <c r="C244" s="101">
        <f t="shared" si="85"/>
        <v>0</v>
      </c>
      <c r="D244" s="101">
        <f t="shared" ref="D244:H244" si="97">10000*(D33-D180)</f>
        <v>16.233444213867124</v>
      </c>
      <c r="E244" s="101">
        <f t="shared" si="97"/>
        <v>7.3471665382385254</v>
      </c>
      <c r="F244" s="101">
        <f t="shared" si="97"/>
        <v>15.984237194061231</v>
      </c>
      <c r="G244" s="101">
        <f t="shared" si="97"/>
        <v>35.593926906585665</v>
      </c>
      <c r="H244" s="101">
        <f t="shared" si="97"/>
        <v>66.636860370635901</v>
      </c>
      <c r="I244" s="101">
        <f t="shared" si="87"/>
        <v>38.426032066345151</v>
      </c>
    </row>
    <row r="245" spans="1:23" x14ac:dyDescent="0.3">
      <c r="A245" s="39"/>
      <c r="B245" s="39"/>
      <c r="C245" s="155"/>
      <c r="D245" s="155"/>
      <c r="E245" s="155"/>
      <c r="F245" s="155"/>
      <c r="G245" s="155"/>
      <c r="H245" s="155"/>
      <c r="I245" s="39"/>
      <c r="K245" s="40"/>
    </row>
    <row r="246" spans="1:23" x14ac:dyDescent="0.3">
      <c r="P246" s="40"/>
      <c r="Q246" s="40"/>
      <c r="R246" s="40"/>
      <c r="S246" s="40"/>
      <c r="T246" s="40"/>
      <c r="U246" s="100"/>
      <c r="V246" s="40"/>
      <c r="W246" s="100"/>
    </row>
    <row r="247" spans="1:23" x14ac:dyDescent="0.3">
      <c r="P247" s="40"/>
      <c r="Q247" s="40"/>
      <c r="R247" s="40"/>
      <c r="S247" s="40"/>
      <c r="T247" s="40"/>
      <c r="U247" s="100"/>
      <c r="V247" s="40"/>
      <c r="W247" s="100"/>
    </row>
    <row r="248" spans="1:23" x14ac:dyDescent="0.3">
      <c r="A248" s="56" t="s">
        <v>13</v>
      </c>
      <c r="P248" s="40"/>
      <c r="Q248" s="40"/>
      <c r="R248" s="40"/>
      <c r="S248" s="40"/>
      <c r="T248" s="40"/>
      <c r="U248" s="100"/>
      <c r="V248" s="40"/>
      <c r="W248" s="100"/>
    </row>
    <row r="249" spans="1:23" x14ac:dyDescent="0.3">
      <c r="A249" s="115" t="s">
        <v>163</v>
      </c>
      <c r="P249" s="40"/>
      <c r="Q249" s="40"/>
      <c r="R249" s="40"/>
      <c r="S249" s="40"/>
      <c r="T249" s="40"/>
      <c r="U249" s="100"/>
      <c r="V249" s="40"/>
      <c r="W249" s="100"/>
    </row>
    <row r="250" spans="1:23" x14ac:dyDescent="0.3">
      <c r="P250" s="40"/>
      <c r="Q250" s="40"/>
      <c r="R250" s="40"/>
      <c r="S250" s="40"/>
      <c r="T250" s="40"/>
      <c r="U250" s="100"/>
      <c r="V250" s="40"/>
      <c r="W250" s="100"/>
    </row>
    <row r="251" spans="1:23" x14ac:dyDescent="0.3">
      <c r="P251" s="40"/>
      <c r="Q251" s="40"/>
      <c r="R251" s="40"/>
      <c r="S251" s="40"/>
      <c r="T251" s="40"/>
      <c r="U251" s="100"/>
      <c r="V251" s="40"/>
      <c r="W251" s="100"/>
    </row>
    <row r="252" spans="1:23" x14ac:dyDescent="0.3">
      <c r="P252" s="40"/>
      <c r="Q252" s="40"/>
      <c r="R252" s="40"/>
      <c r="S252" s="40"/>
      <c r="T252" s="40"/>
      <c r="U252" s="100"/>
      <c r="V252" s="40"/>
      <c r="W252" s="100"/>
    </row>
    <row r="253" spans="1:23" x14ac:dyDescent="0.3">
      <c r="P253" s="40"/>
      <c r="Q253" s="40"/>
      <c r="R253" s="40"/>
      <c r="S253" s="40"/>
      <c r="T253" s="40"/>
      <c r="U253" s="100"/>
      <c r="V253" s="40"/>
      <c r="W253" s="100"/>
    </row>
    <row r="254" spans="1:23" x14ac:dyDescent="0.3">
      <c r="P254" s="40"/>
      <c r="Q254" s="40"/>
      <c r="R254" s="40"/>
      <c r="S254" s="40"/>
      <c r="T254" s="40"/>
      <c r="U254" s="100"/>
      <c r="V254" s="40"/>
      <c r="W254" s="100"/>
    </row>
    <row r="255" spans="1:23" x14ac:dyDescent="0.3">
      <c r="P255" s="40"/>
      <c r="Q255" s="40"/>
      <c r="R255" s="40"/>
      <c r="S255" s="40"/>
      <c r="T255" s="40"/>
      <c r="U255" s="100"/>
      <c r="V255" s="40"/>
      <c r="W255" s="100"/>
    </row>
    <row r="256" spans="1:23" x14ac:dyDescent="0.3">
      <c r="P256" s="40"/>
      <c r="Q256" s="40"/>
      <c r="R256" s="40"/>
      <c r="S256" s="40"/>
      <c r="T256" s="40"/>
      <c r="U256" s="100"/>
      <c r="V256" s="40"/>
      <c r="W256" s="100"/>
    </row>
    <row r="257" spans="16:23" x14ac:dyDescent="0.3">
      <c r="P257" s="40"/>
      <c r="Q257" s="40"/>
      <c r="R257" s="40"/>
      <c r="S257" s="40"/>
      <c r="T257" s="40"/>
      <c r="U257" s="100"/>
      <c r="V257" s="40"/>
      <c r="W257" s="100"/>
    </row>
  </sheetData>
  <sheetProtection sheet="1" objects="1" scenarios="1"/>
  <dataValidations disablePrompts="1" count="1">
    <dataValidation type="list" allowBlank="1" showInputMessage="1" showErrorMessage="1" sqref="B121" xr:uid="{D231CA97-0EE0-4C7C-B971-341B045525A2}">
      <formula1>$N$126:$N$127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8" orientation="portrait" r:id="rId1"/>
  <rowBreaks count="7" manualBreakCount="7">
    <brk id="18" max="10" man="1"/>
    <brk id="51" max="10" man="1"/>
    <brk id="74" max="10" man="1"/>
    <brk id="117" max="10" man="1"/>
    <brk id="142" max="10" man="1"/>
    <brk id="164" max="10" man="1"/>
    <brk id="229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954D-3CE7-49FE-9096-631FFBF26573}">
  <dimension ref="A1:AA45"/>
  <sheetViews>
    <sheetView view="pageBreakPreview" zoomScale="85" zoomScaleNormal="100" zoomScaleSheetLayoutView="85" workbookViewId="0">
      <selection activeCell="L28" sqref="L28"/>
    </sheetView>
  </sheetViews>
  <sheetFormatPr defaultColWidth="13.5546875" defaultRowHeight="14.4" x14ac:dyDescent="0.3"/>
  <cols>
    <col min="1" max="1" width="10.77734375" customWidth="1"/>
    <col min="3" max="12" width="10.77734375" customWidth="1"/>
    <col min="13" max="13" width="13.5546875" collapsed="1"/>
    <col min="15" max="15" width="10.77734375" customWidth="1"/>
    <col min="17" max="26" width="10.77734375" customWidth="1"/>
    <col min="27" max="27" width="13.5546875" collapsed="1"/>
  </cols>
  <sheetData>
    <row r="1" spans="1:27" x14ac:dyDescent="0.3">
      <c r="A1" s="2" t="s">
        <v>119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2" t="s">
        <v>246</v>
      </c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>
      <c r="A3" s="2" t="str">
        <f>CompanyName</f>
        <v>Company ABC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" t="str">
        <f>CompanyName</f>
        <v>Company ABC</v>
      </c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">
      <c r="A4" s="1" t="s">
        <v>127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 t="s">
        <v>127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">
      <c r="A5" s="1" t="s">
        <v>128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 t="s">
        <v>128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">
      <c r="A7" s="1" t="str">
        <f>"As at "&amp;TEXT(ValDate,"mmmm dd, yyyy")</f>
        <v>As at December 31, 2022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 t="str">
        <f>"As at "&amp;TEXT(ValDate-365,"mmmm dd, yyyy")</f>
        <v>As at December 31, 2021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9" customFormat="1" x14ac:dyDescent="0.3"/>
    <row r="9" spans="1:27" s="9" customFormat="1" x14ac:dyDescent="0.3">
      <c r="A9" s="34"/>
      <c r="O9" s="34"/>
    </row>
    <row r="10" spans="1:27" x14ac:dyDescent="0.3">
      <c r="A10" s="47"/>
      <c r="B10" s="6" t="s">
        <v>14</v>
      </c>
      <c r="C10" s="6" t="s">
        <v>178</v>
      </c>
      <c r="D10" s="6" t="s">
        <v>179</v>
      </c>
      <c r="E10" s="6" t="s">
        <v>180</v>
      </c>
      <c r="F10" s="6" t="s">
        <v>181</v>
      </c>
      <c r="G10" s="6" t="s">
        <v>182</v>
      </c>
      <c r="H10" s="6" t="s">
        <v>183</v>
      </c>
      <c r="I10" s="6" t="s">
        <v>184</v>
      </c>
      <c r="J10" s="6" t="s">
        <v>185</v>
      </c>
      <c r="K10" s="6" t="s">
        <v>186</v>
      </c>
      <c r="L10" s="6" t="s">
        <v>187</v>
      </c>
      <c r="M10" s="6" t="s">
        <v>16</v>
      </c>
      <c r="O10" s="4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x14ac:dyDescent="0.3">
      <c r="A11" s="48" t="s">
        <v>9</v>
      </c>
      <c r="B11" s="3" t="s">
        <v>11</v>
      </c>
      <c r="C11" s="13" t="s">
        <v>126</v>
      </c>
      <c r="D11" s="13"/>
      <c r="E11" s="13"/>
      <c r="F11" s="13"/>
      <c r="G11" s="13"/>
      <c r="H11" s="13"/>
      <c r="I11" s="13"/>
      <c r="J11" s="13"/>
      <c r="K11" s="13"/>
      <c r="L11" s="13"/>
      <c r="M11" s="3" t="s">
        <v>21</v>
      </c>
      <c r="O11" s="48" t="s">
        <v>9</v>
      </c>
      <c r="P11" s="3" t="s">
        <v>11</v>
      </c>
      <c r="Q11" s="13" t="s">
        <v>126</v>
      </c>
      <c r="R11" s="13"/>
      <c r="S11" s="13"/>
      <c r="T11" s="13"/>
      <c r="U11" s="13"/>
      <c r="V11" s="13"/>
      <c r="W11" s="13"/>
      <c r="X11" s="13"/>
      <c r="Y11" s="13"/>
      <c r="Z11" s="13"/>
      <c r="AA11" s="3" t="s">
        <v>21</v>
      </c>
    </row>
    <row r="12" spans="1:27" x14ac:dyDescent="0.3">
      <c r="A12" s="29" t="s">
        <v>10</v>
      </c>
      <c r="B12" s="7" t="s">
        <v>12</v>
      </c>
      <c r="C12" s="7">
        <f>YEAR(ValDate)+1</f>
        <v>2023</v>
      </c>
      <c r="D12" s="7">
        <f>+C12+1</f>
        <v>2024</v>
      </c>
      <c r="E12" s="7">
        <f t="shared" ref="E12:L12" si="0">+D12+1</f>
        <v>2025</v>
      </c>
      <c r="F12" s="7">
        <f t="shared" si="0"/>
        <v>2026</v>
      </c>
      <c r="G12" s="7">
        <f t="shared" si="0"/>
        <v>2027</v>
      </c>
      <c r="H12" s="7">
        <f t="shared" si="0"/>
        <v>2028</v>
      </c>
      <c r="I12" s="7">
        <f t="shared" si="0"/>
        <v>2029</v>
      </c>
      <c r="J12" s="7">
        <f t="shared" si="0"/>
        <v>2030</v>
      </c>
      <c r="K12" s="7">
        <f t="shared" si="0"/>
        <v>2031</v>
      </c>
      <c r="L12" s="7">
        <f t="shared" si="0"/>
        <v>2032</v>
      </c>
      <c r="M12" s="7" t="s">
        <v>12</v>
      </c>
      <c r="O12" s="29" t="s">
        <v>10</v>
      </c>
      <c r="P12" s="7" t="s">
        <v>12</v>
      </c>
      <c r="Q12" s="7">
        <f>YEAR(ValDate)+1</f>
        <v>2023</v>
      </c>
      <c r="R12" s="7">
        <f>+Q12+1</f>
        <v>2024</v>
      </c>
      <c r="S12" s="7">
        <f t="shared" ref="S12" si="1">+R12+1</f>
        <v>2025</v>
      </c>
      <c r="T12" s="7">
        <f t="shared" ref="T12" si="2">+S12+1</f>
        <v>2026</v>
      </c>
      <c r="U12" s="7">
        <f t="shared" ref="U12" si="3">+T12+1</f>
        <v>2027</v>
      </c>
      <c r="V12" s="7">
        <f t="shared" ref="V12" si="4">+U12+1</f>
        <v>2028</v>
      </c>
      <c r="W12" s="7">
        <f t="shared" ref="W12" si="5">+V12+1</f>
        <v>2029</v>
      </c>
      <c r="X12" s="7">
        <f t="shared" ref="X12" si="6">+W12+1</f>
        <v>2030</v>
      </c>
      <c r="Y12" s="7">
        <f t="shared" ref="Y12" si="7">+X12+1</f>
        <v>2031</v>
      </c>
      <c r="Z12" s="7">
        <f t="shared" ref="Z12" si="8">+Y12+1</f>
        <v>2032</v>
      </c>
      <c r="AA12" s="7" t="s">
        <v>12</v>
      </c>
    </row>
    <row r="13" spans="1:27" x14ac:dyDescent="0.3">
      <c r="A13" s="48">
        <f t="shared" ref="A13:A21" si="9">A14-1</f>
        <v>2012</v>
      </c>
      <c r="B13" s="19">
        <v>0</v>
      </c>
      <c r="C13" s="10">
        <f>$B13*'1-Payment Pattern'!E16</f>
        <v>0</v>
      </c>
      <c r="D13" s="10">
        <f>$B13*'1-Payment Pattern'!F16</f>
        <v>0</v>
      </c>
      <c r="E13" s="10">
        <f>$B13*'1-Payment Pattern'!G16</f>
        <v>0</v>
      </c>
      <c r="F13" s="10">
        <f>$B13*'1-Payment Pattern'!H16</f>
        <v>0</v>
      </c>
      <c r="G13" s="10">
        <f>$B13*'1-Payment Pattern'!I16</f>
        <v>0</v>
      </c>
      <c r="H13" s="10">
        <f>$B13*'1-Payment Pattern'!J16</f>
        <v>0</v>
      </c>
      <c r="I13" s="10">
        <f>$B13*'1-Payment Pattern'!K16</f>
        <v>0</v>
      </c>
      <c r="J13" s="10">
        <f>$B13*'1-Payment Pattern'!L16</f>
        <v>0</v>
      </c>
      <c r="K13" s="10">
        <f>$B13*'1-Payment Pattern'!M16</f>
        <v>0</v>
      </c>
      <c r="L13" s="10">
        <f>$B13*'1-Payment Pattern'!N16</f>
        <v>0</v>
      </c>
      <c r="M13" s="23">
        <f t="shared" ref="M13:M23" si="10">SUMPRODUCT(C13:L13,$C$35:$L$35)</f>
        <v>0</v>
      </c>
      <c r="O13" s="48">
        <f t="shared" ref="O13:O21" si="11">O14-1</f>
        <v>2012</v>
      </c>
      <c r="P13" s="5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23">
        <f t="shared" ref="AA13:AA23" si="12">SUMPRODUCT(Q13:Z13,$Q$35:$Z$35)</f>
        <v>0</v>
      </c>
    </row>
    <row r="14" spans="1:27" collapsed="1" x14ac:dyDescent="0.3">
      <c r="A14" s="48">
        <f t="shared" si="9"/>
        <v>2013</v>
      </c>
      <c r="B14" s="19">
        <v>45264</v>
      </c>
      <c r="C14" s="10">
        <f>$B14*'1-Payment Pattern'!E17</f>
        <v>45264</v>
      </c>
      <c r="D14" s="10">
        <f>$B14*'1-Payment Pattern'!F17</f>
        <v>0</v>
      </c>
      <c r="E14" s="10">
        <f>$B14*'1-Payment Pattern'!G17</f>
        <v>0</v>
      </c>
      <c r="F14" s="10">
        <f>$B14*'1-Payment Pattern'!H17</f>
        <v>0</v>
      </c>
      <c r="G14" s="10">
        <f>$B14*'1-Payment Pattern'!I17</f>
        <v>0</v>
      </c>
      <c r="H14" s="10">
        <f>$B14*'1-Payment Pattern'!J17</f>
        <v>0</v>
      </c>
      <c r="I14" s="10">
        <f>$B14*'1-Payment Pattern'!K17</f>
        <v>0</v>
      </c>
      <c r="J14" s="10">
        <f>$B14*'1-Payment Pattern'!L17</f>
        <v>0</v>
      </c>
      <c r="K14" s="10">
        <f>$B14*'1-Payment Pattern'!M17</f>
        <v>0</v>
      </c>
      <c r="L14" s="10">
        <f>$B14*'1-Payment Pattern'!N17</f>
        <v>0</v>
      </c>
      <c r="M14" s="23">
        <f t="shared" si="10"/>
        <v>44732.769966953281</v>
      </c>
      <c r="O14" s="48">
        <f t="shared" si="11"/>
        <v>2013</v>
      </c>
      <c r="P14" s="19">
        <v>161310.26462534757</v>
      </c>
      <c r="Q14" s="43">
        <f>$P14*'1-Payment Pattern'!E18</f>
        <v>161310.26462534745</v>
      </c>
      <c r="R14" s="43">
        <f>$P14*'1-Payment Pattern'!F18</f>
        <v>0</v>
      </c>
      <c r="S14" s="43">
        <f>$P14*'1-Payment Pattern'!G18</f>
        <v>0</v>
      </c>
      <c r="T14" s="43">
        <f>$P14*'1-Payment Pattern'!H18</f>
        <v>0</v>
      </c>
      <c r="U14" s="43">
        <f>$P14*'1-Payment Pattern'!I18</f>
        <v>0</v>
      </c>
      <c r="V14" s="43">
        <f>$P14*'1-Payment Pattern'!J18</f>
        <v>0</v>
      </c>
      <c r="W14" s="43">
        <f>$P14*'1-Payment Pattern'!K18</f>
        <v>0</v>
      </c>
      <c r="X14" s="43">
        <f>$P14*'1-Payment Pattern'!L18</f>
        <v>0</v>
      </c>
      <c r="Y14" s="43">
        <f>$P14*'1-Payment Pattern'!M18</f>
        <v>0</v>
      </c>
      <c r="Z14" s="43">
        <f>$P14*'1-Payment Pattern'!N18</f>
        <v>0</v>
      </c>
      <c r="AA14" s="23">
        <f t="shared" si="12"/>
        <v>159378.17552953862</v>
      </c>
    </row>
    <row r="15" spans="1:27" x14ac:dyDescent="0.3">
      <c r="A15" s="48">
        <f t="shared" si="9"/>
        <v>2014</v>
      </c>
      <c r="B15" s="19">
        <v>177489</v>
      </c>
      <c r="C15" s="10">
        <f>$B15*'1-Payment Pattern'!E18</f>
        <v>177488.99999999985</v>
      </c>
      <c r="D15" s="10">
        <f>$B15*'1-Payment Pattern'!F18</f>
        <v>0</v>
      </c>
      <c r="E15" s="10">
        <f>$B15*'1-Payment Pattern'!G18</f>
        <v>0</v>
      </c>
      <c r="F15" s="10">
        <f>$B15*'1-Payment Pattern'!H18</f>
        <v>0</v>
      </c>
      <c r="G15" s="10">
        <f>$B15*'1-Payment Pattern'!I18</f>
        <v>0</v>
      </c>
      <c r="H15" s="10">
        <f>$B15*'1-Payment Pattern'!J18</f>
        <v>0</v>
      </c>
      <c r="I15" s="10">
        <f>$B15*'1-Payment Pattern'!K18</f>
        <v>0</v>
      </c>
      <c r="J15" s="10">
        <f>$B15*'1-Payment Pattern'!L18</f>
        <v>0</v>
      </c>
      <c r="K15" s="10">
        <f>$B15*'1-Payment Pattern'!M18</f>
        <v>0</v>
      </c>
      <c r="L15" s="10">
        <f>$B15*'1-Payment Pattern'!N18</f>
        <v>0</v>
      </c>
      <c r="M15" s="23">
        <f t="shared" si="10"/>
        <v>175405.94310411287</v>
      </c>
      <c r="O15" s="48">
        <f t="shared" si="11"/>
        <v>2014</v>
      </c>
      <c r="P15" s="19">
        <v>759015.3818350971</v>
      </c>
      <c r="Q15" s="43">
        <f>$P15*'1-Payment Pattern'!E19</f>
        <v>379507.69091754826</v>
      </c>
      <c r="R15" s="43">
        <f>$P15*'1-Payment Pattern'!F19</f>
        <v>379507.69091754826</v>
      </c>
      <c r="S15" s="43">
        <f>$P15*'1-Payment Pattern'!G19</f>
        <v>0</v>
      </c>
      <c r="T15" s="43">
        <f>$P15*'1-Payment Pattern'!H19</f>
        <v>0</v>
      </c>
      <c r="U15" s="43">
        <f>$P15*'1-Payment Pattern'!I19</f>
        <v>0</v>
      </c>
      <c r="V15" s="43">
        <f>$P15*'1-Payment Pattern'!J19</f>
        <v>0</v>
      </c>
      <c r="W15" s="43">
        <f>$P15*'1-Payment Pattern'!K19</f>
        <v>0</v>
      </c>
      <c r="X15" s="43">
        <f>$P15*'1-Payment Pattern'!L19</f>
        <v>0</v>
      </c>
      <c r="Y15" s="43">
        <f>$P15*'1-Payment Pattern'!M19</f>
        <v>0</v>
      </c>
      <c r="Z15" s="43">
        <f>$P15*'1-Payment Pattern'!N19</f>
        <v>0</v>
      </c>
      <c r="AA15" s="23">
        <f t="shared" si="12"/>
        <v>740450.03545701317</v>
      </c>
    </row>
    <row r="16" spans="1:27" x14ac:dyDescent="0.3">
      <c r="A16" s="48">
        <f t="shared" si="9"/>
        <v>2015</v>
      </c>
      <c r="B16" s="19">
        <v>782296</v>
      </c>
      <c r="C16" s="10">
        <f>$B16*'1-Payment Pattern'!E19</f>
        <v>391147.99999999971</v>
      </c>
      <c r="D16" s="10">
        <f>$B16*'1-Payment Pattern'!F19</f>
        <v>391147.99999999971</v>
      </c>
      <c r="E16" s="10">
        <f>$B16*'1-Payment Pattern'!G19</f>
        <v>0</v>
      </c>
      <c r="F16" s="10">
        <f>$B16*'1-Payment Pattern'!H19</f>
        <v>0</v>
      </c>
      <c r="G16" s="10">
        <f>$B16*'1-Payment Pattern'!I19</f>
        <v>0</v>
      </c>
      <c r="H16" s="10">
        <f>$B16*'1-Payment Pattern'!J19</f>
        <v>0</v>
      </c>
      <c r="I16" s="10">
        <f>$B16*'1-Payment Pattern'!K19</f>
        <v>0</v>
      </c>
      <c r="J16" s="10">
        <f>$B16*'1-Payment Pattern'!L19</f>
        <v>0</v>
      </c>
      <c r="K16" s="10">
        <f>$B16*'1-Payment Pattern'!M19</f>
        <v>0</v>
      </c>
      <c r="L16" s="10">
        <f>$B16*'1-Payment Pattern'!N19</f>
        <v>0</v>
      </c>
      <c r="M16" s="23">
        <f t="shared" si="10"/>
        <v>763531.25474294065</v>
      </c>
      <c r="O16" s="48">
        <f t="shared" si="11"/>
        <v>2015</v>
      </c>
      <c r="P16" s="19">
        <v>841382.87164158828</v>
      </c>
      <c r="Q16" s="43">
        <f>$P16*'1-Payment Pattern'!E20</f>
        <v>420691.43582079379</v>
      </c>
      <c r="R16" s="43">
        <f>$P16*'1-Payment Pattern'!F20</f>
        <v>210345.7179103969</v>
      </c>
      <c r="S16" s="43">
        <f>$P16*'1-Payment Pattern'!G20</f>
        <v>210345.7179103969</v>
      </c>
      <c r="T16" s="43">
        <f>$P16*'1-Payment Pattern'!H20</f>
        <v>0</v>
      </c>
      <c r="U16" s="43">
        <f>$P16*'1-Payment Pattern'!I20</f>
        <v>0</v>
      </c>
      <c r="V16" s="43">
        <f>$P16*'1-Payment Pattern'!J20</f>
        <v>0</v>
      </c>
      <c r="W16" s="43">
        <f>$P16*'1-Payment Pattern'!K20</f>
        <v>0</v>
      </c>
      <c r="X16" s="43">
        <f>$P16*'1-Payment Pattern'!L20</f>
        <v>0</v>
      </c>
      <c r="Y16" s="43">
        <f>$P16*'1-Payment Pattern'!M20</f>
        <v>0</v>
      </c>
      <c r="Z16" s="43">
        <f>$P16*'1-Payment Pattern'!N20</f>
        <v>0</v>
      </c>
      <c r="AA16" s="23">
        <f t="shared" si="12"/>
        <v>815215.60955186537</v>
      </c>
    </row>
    <row r="17" spans="1:27" x14ac:dyDescent="0.3">
      <c r="A17" s="48">
        <f t="shared" si="9"/>
        <v>2016</v>
      </c>
      <c r="B17" s="19">
        <v>838383</v>
      </c>
      <c r="C17" s="10">
        <f>$B17*'1-Payment Pattern'!E20</f>
        <v>419191.49999999965</v>
      </c>
      <c r="D17" s="10">
        <f>$B17*'1-Payment Pattern'!F20</f>
        <v>209595.74999999983</v>
      </c>
      <c r="E17" s="10">
        <f>$B17*'1-Payment Pattern'!G20</f>
        <v>209595.74999999983</v>
      </c>
      <c r="F17" s="10">
        <f>$B17*'1-Payment Pattern'!H20</f>
        <v>0</v>
      </c>
      <c r="G17" s="10">
        <f>$B17*'1-Payment Pattern'!I20</f>
        <v>0</v>
      </c>
      <c r="H17" s="10">
        <f>$B17*'1-Payment Pattern'!J20</f>
        <v>0</v>
      </c>
      <c r="I17" s="10">
        <f>$B17*'1-Payment Pattern'!K20</f>
        <v>0</v>
      </c>
      <c r="J17" s="10">
        <f>$B17*'1-Payment Pattern'!L20</f>
        <v>0</v>
      </c>
      <c r="K17" s="10">
        <f>$B17*'1-Payment Pattern'!M20</f>
        <v>0</v>
      </c>
      <c r="L17" s="10">
        <f>$B17*'1-Payment Pattern'!N20</f>
        <v>0</v>
      </c>
      <c r="M17" s="23">
        <f t="shared" si="10"/>
        <v>812797.08227740345</v>
      </c>
      <c r="O17" s="48">
        <f t="shared" si="11"/>
        <v>2016</v>
      </c>
      <c r="P17" s="19">
        <v>1382415.8349884809</v>
      </c>
      <c r="Q17" s="43">
        <f>$P17*'1-Payment Pattern'!E21</f>
        <v>460805.27832949325</v>
      </c>
      <c r="R17" s="43">
        <f>$P17*'1-Payment Pattern'!F21</f>
        <v>460805.27832949325</v>
      </c>
      <c r="S17" s="43">
        <f>$P17*'1-Payment Pattern'!G21</f>
        <v>230402.63916474662</v>
      </c>
      <c r="T17" s="43">
        <f>$P17*'1-Payment Pattern'!H21</f>
        <v>230402.63916474662</v>
      </c>
      <c r="U17" s="43">
        <f>$P17*'1-Payment Pattern'!I21</f>
        <v>0</v>
      </c>
      <c r="V17" s="43">
        <f>$P17*'1-Payment Pattern'!J21</f>
        <v>0</v>
      </c>
      <c r="W17" s="43">
        <f>$P17*'1-Payment Pattern'!K21</f>
        <v>0</v>
      </c>
      <c r="X17" s="43">
        <f>$P17*'1-Payment Pattern'!L21</f>
        <v>0</v>
      </c>
      <c r="Y17" s="43">
        <f>$P17*'1-Payment Pattern'!M21</f>
        <v>0</v>
      </c>
      <c r="Z17" s="43">
        <f>$P17*'1-Payment Pattern'!N21</f>
        <v>0</v>
      </c>
      <c r="AA17" s="23">
        <f t="shared" si="12"/>
        <v>1323858.8098319343</v>
      </c>
    </row>
    <row r="18" spans="1:27" x14ac:dyDescent="0.3">
      <c r="A18" s="48">
        <f t="shared" si="9"/>
        <v>2017</v>
      </c>
      <c r="B18" s="19">
        <v>1197301</v>
      </c>
      <c r="C18" s="10">
        <f>$B18*'1-Payment Pattern'!E21</f>
        <v>399100.33333333296</v>
      </c>
      <c r="D18" s="10">
        <f>$B18*'1-Payment Pattern'!F21</f>
        <v>399100.33333333296</v>
      </c>
      <c r="E18" s="10">
        <f>$B18*'1-Payment Pattern'!G21</f>
        <v>199550.16666666648</v>
      </c>
      <c r="F18" s="10">
        <f>$B18*'1-Payment Pattern'!H21</f>
        <v>199550.16666666648</v>
      </c>
      <c r="G18" s="10">
        <f>$B18*'1-Payment Pattern'!I21</f>
        <v>0</v>
      </c>
      <c r="H18" s="10">
        <f>$B18*'1-Payment Pattern'!J21</f>
        <v>0</v>
      </c>
      <c r="I18" s="10">
        <f>$B18*'1-Payment Pattern'!K21</f>
        <v>0</v>
      </c>
      <c r="J18" s="10">
        <f>$B18*'1-Payment Pattern'!L21</f>
        <v>0</v>
      </c>
      <c r="K18" s="10">
        <f>$B18*'1-Payment Pattern'!M21</f>
        <v>0</v>
      </c>
      <c r="L18" s="10">
        <f>$B18*'1-Payment Pattern'!N21</f>
        <v>0</v>
      </c>
      <c r="M18" s="23">
        <f t="shared" si="10"/>
        <v>1147498.906352709</v>
      </c>
      <c r="O18" s="48">
        <f t="shared" si="11"/>
        <v>2017</v>
      </c>
      <c r="P18" s="19">
        <v>6344258.9423610773</v>
      </c>
      <c r="Q18" s="43">
        <f>$P18*'1-Payment Pattern'!E22</f>
        <v>2114752.9807870248</v>
      </c>
      <c r="R18" s="43">
        <f>$P18*'1-Payment Pattern'!F22</f>
        <v>1409835.3205246835</v>
      </c>
      <c r="S18" s="43">
        <f>$P18*'1-Payment Pattern'!G22</f>
        <v>1409835.3205246835</v>
      </c>
      <c r="T18" s="43">
        <f>$P18*'1-Payment Pattern'!H22</f>
        <v>704917.66026234173</v>
      </c>
      <c r="U18" s="43">
        <f>$P18*'1-Payment Pattern'!I22</f>
        <v>704917.66026234173</v>
      </c>
      <c r="V18" s="43">
        <f>$P18*'1-Payment Pattern'!J22</f>
        <v>0</v>
      </c>
      <c r="W18" s="43">
        <f>$P18*'1-Payment Pattern'!K22</f>
        <v>0</v>
      </c>
      <c r="X18" s="43">
        <f>$P18*'1-Payment Pattern'!L22</f>
        <v>0</v>
      </c>
      <c r="Y18" s="43">
        <f>$P18*'1-Payment Pattern'!M22</f>
        <v>0</v>
      </c>
      <c r="Z18" s="43">
        <f>$P18*'1-Payment Pattern'!N22</f>
        <v>0</v>
      </c>
      <c r="AA18" s="23">
        <f t="shared" si="12"/>
        <v>6027240.0837487839</v>
      </c>
    </row>
    <row r="19" spans="1:27" x14ac:dyDescent="0.3">
      <c r="A19" s="48">
        <f t="shared" si="9"/>
        <v>2018</v>
      </c>
      <c r="B19" s="19">
        <v>5935326</v>
      </c>
      <c r="C19" s="10">
        <f>$B19*'1-Payment Pattern'!E22</f>
        <v>1978441.9999999993</v>
      </c>
      <c r="D19" s="10">
        <f>$B19*'1-Payment Pattern'!F22</f>
        <v>1318961.333333333</v>
      </c>
      <c r="E19" s="10">
        <f>$B19*'1-Payment Pattern'!G22</f>
        <v>1318961.333333333</v>
      </c>
      <c r="F19" s="10">
        <f>$B19*'1-Payment Pattern'!H22</f>
        <v>659480.66666666651</v>
      </c>
      <c r="G19" s="10">
        <f>$B19*'1-Payment Pattern'!I22</f>
        <v>659480.66666666651</v>
      </c>
      <c r="H19" s="10">
        <f>$B19*'1-Payment Pattern'!J22</f>
        <v>0</v>
      </c>
      <c r="I19" s="10">
        <f>$B19*'1-Payment Pattern'!K22</f>
        <v>0</v>
      </c>
      <c r="J19" s="10">
        <f>$B19*'1-Payment Pattern'!L22</f>
        <v>0</v>
      </c>
      <c r="K19" s="10">
        <f>$B19*'1-Payment Pattern'!M22</f>
        <v>0</v>
      </c>
      <c r="L19" s="10">
        <f>$B19*'1-Payment Pattern'!N22</f>
        <v>0</v>
      </c>
      <c r="M19" s="23">
        <f t="shared" si="10"/>
        <v>5643943.5269552395</v>
      </c>
      <c r="O19" s="48">
        <f t="shared" si="11"/>
        <v>2018</v>
      </c>
      <c r="P19" s="19">
        <v>2373970.9030805328</v>
      </c>
      <c r="Q19" s="43">
        <f>$P19*'1-Payment Pattern'!E23</f>
        <v>593492.72577013308</v>
      </c>
      <c r="R19" s="43">
        <f>$P19*'1-Payment Pattern'!F23</f>
        <v>593492.72577013308</v>
      </c>
      <c r="S19" s="43">
        <f>$P19*'1-Payment Pattern'!G23</f>
        <v>395661.81718008878</v>
      </c>
      <c r="T19" s="43">
        <f>$P19*'1-Payment Pattern'!H23</f>
        <v>395661.81718008878</v>
      </c>
      <c r="U19" s="43">
        <f>$P19*'1-Payment Pattern'!I23</f>
        <v>197830.90859004439</v>
      </c>
      <c r="V19" s="43">
        <f>$P19*'1-Payment Pattern'!J23</f>
        <v>197830.90859004439</v>
      </c>
      <c r="W19" s="43">
        <f>$P19*'1-Payment Pattern'!K23</f>
        <v>0</v>
      </c>
      <c r="X19" s="43">
        <f>$P19*'1-Payment Pattern'!L23</f>
        <v>0</v>
      </c>
      <c r="Y19" s="43">
        <f>$P19*'1-Payment Pattern'!M23</f>
        <v>0</v>
      </c>
      <c r="Z19" s="43">
        <f>$P19*'1-Payment Pattern'!N23</f>
        <v>0</v>
      </c>
      <c r="AA19" s="23">
        <f t="shared" si="12"/>
        <v>2230132.3346109921</v>
      </c>
    </row>
    <row r="20" spans="1:27" x14ac:dyDescent="0.3">
      <c r="A20" s="48">
        <f t="shared" si="9"/>
        <v>2019</v>
      </c>
      <c r="B20" s="19">
        <v>2441801</v>
      </c>
      <c r="C20" s="10">
        <f>$B20*'1-Payment Pattern'!E23</f>
        <v>610450.24999999988</v>
      </c>
      <c r="D20" s="10">
        <f>$B20*'1-Payment Pattern'!F23</f>
        <v>610450.24999999988</v>
      </c>
      <c r="E20" s="10">
        <f>$B20*'1-Payment Pattern'!G23</f>
        <v>406966.83333333331</v>
      </c>
      <c r="F20" s="10">
        <f>$B20*'1-Payment Pattern'!H23</f>
        <v>406966.83333333331</v>
      </c>
      <c r="G20" s="10">
        <f>$B20*'1-Payment Pattern'!I23</f>
        <v>203483.41666666666</v>
      </c>
      <c r="H20" s="10">
        <f>$B20*'1-Payment Pattern'!J23</f>
        <v>203483.41666666666</v>
      </c>
      <c r="I20" s="10">
        <f>$B20*'1-Payment Pattern'!K23</f>
        <v>0</v>
      </c>
      <c r="J20" s="10">
        <f>$B20*'1-Payment Pattern'!L23</f>
        <v>0</v>
      </c>
      <c r="K20" s="10">
        <f>$B20*'1-Payment Pattern'!M23</f>
        <v>0</v>
      </c>
      <c r="L20" s="10">
        <f>$B20*'1-Payment Pattern'!N23</f>
        <v>0</v>
      </c>
      <c r="M20" s="23">
        <f t="shared" si="10"/>
        <v>2296379.7841712502</v>
      </c>
      <c r="O20" s="48">
        <f t="shared" si="11"/>
        <v>2019</v>
      </c>
      <c r="P20" s="19">
        <v>6363876.1952190734</v>
      </c>
      <c r="Q20" s="43">
        <f>$P20*'1-Payment Pattern'!E24</f>
        <v>1590969.0488047684</v>
      </c>
      <c r="R20" s="43">
        <f>$P20*'1-Payment Pattern'!F24</f>
        <v>1193226.786603576</v>
      </c>
      <c r="S20" s="43">
        <f>$P20*'1-Payment Pattern'!G24</f>
        <v>1193226.786603576</v>
      </c>
      <c r="T20" s="43">
        <f>$P20*'1-Payment Pattern'!H24</f>
        <v>795484.52440238418</v>
      </c>
      <c r="U20" s="43">
        <f>$P20*'1-Payment Pattern'!I24</f>
        <v>795484.52440238418</v>
      </c>
      <c r="V20" s="43">
        <f>$P20*'1-Payment Pattern'!J24</f>
        <v>397742.26220119209</v>
      </c>
      <c r="W20" s="43">
        <f>$P20*'1-Payment Pattern'!K24</f>
        <v>397742.26220119209</v>
      </c>
      <c r="X20" s="43">
        <f>$P20*'1-Payment Pattern'!L24</f>
        <v>0</v>
      </c>
      <c r="Y20" s="43">
        <f>$P20*'1-Payment Pattern'!M24</f>
        <v>0</v>
      </c>
      <c r="Z20" s="43">
        <f>$P20*'1-Payment Pattern'!N24</f>
        <v>0</v>
      </c>
      <c r="AA20" s="23">
        <f t="shared" si="12"/>
        <v>5927160.179966527</v>
      </c>
    </row>
    <row r="21" spans="1:27" x14ac:dyDescent="0.3">
      <c r="A21" s="48">
        <f t="shared" si="9"/>
        <v>2020</v>
      </c>
      <c r="B21" s="19">
        <v>5596324</v>
      </c>
      <c r="C21" s="10">
        <f>$B21*'1-Payment Pattern'!E24</f>
        <v>1399081</v>
      </c>
      <c r="D21" s="10">
        <f>$B21*'1-Payment Pattern'!F24</f>
        <v>1049310.7499999998</v>
      </c>
      <c r="E21" s="10">
        <f>$B21*'1-Payment Pattern'!G24</f>
        <v>1049310.7499999998</v>
      </c>
      <c r="F21" s="10">
        <f>$B21*'1-Payment Pattern'!H24</f>
        <v>699540.5</v>
      </c>
      <c r="G21" s="10">
        <f>$B21*'1-Payment Pattern'!I24</f>
        <v>699540.5</v>
      </c>
      <c r="H21" s="10">
        <f>$B21*'1-Payment Pattern'!J24</f>
        <v>349770.25</v>
      </c>
      <c r="I21" s="10">
        <f>$B21*'1-Payment Pattern'!K24</f>
        <v>349770.25</v>
      </c>
      <c r="J21" s="10">
        <f>$B21*'1-Payment Pattern'!L24</f>
        <v>0</v>
      </c>
      <c r="K21" s="10">
        <f>$B21*'1-Payment Pattern'!M24</f>
        <v>0</v>
      </c>
      <c r="L21" s="10">
        <f>$B21*'1-Payment Pattern'!N24</f>
        <v>0</v>
      </c>
      <c r="M21" s="23">
        <f t="shared" si="10"/>
        <v>5218693.8538844911</v>
      </c>
      <c r="O21" s="48">
        <f t="shared" si="11"/>
        <v>2020</v>
      </c>
      <c r="P21" s="19">
        <v>4946082.366368155</v>
      </c>
      <c r="Q21" s="43">
        <f>$P21*'1-Payment Pattern'!E25</f>
        <v>1348931.5544640422</v>
      </c>
      <c r="R21" s="43">
        <f>$P21*'1-Payment Pattern'!F25</f>
        <v>899287.7029760282</v>
      </c>
      <c r="S21" s="43">
        <f>$P21*'1-Payment Pattern'!G25</f>
        <v>674465.77723202109</v>
      </c>
      <c r="T21" s="43">
        <f>$P21*'1-Payment Pattern'!H25</f>
        <v>674465.77723202109</v>
      </c>
      <c r="U21" s="43">
        <f>$P21*'1-Payment Pattern'!I25</f>
        <v>449643.8514880141</v>
      </c>
      <c r="V21" s="43">
        <f>$P21*'1-Payment Pattern'!J25</f>
        <v>449643.8514880141</v>
      </c>
      <c r="W21" s="43">
        <f>$P21*'1-Payment Pattern'!K25</f>
        <v>224821.92574400705</v>
      </c>
      <c r="X21" s="43">
        <f>$P21*'1-Payment Pattern'!L25</f>
        <v>224821.92574400705</v>
      </c>
      <c r="Y21" s="43">
        <f>$P21*'1-Payment Pattern'!M25</f>
        <v>0</v>
      </c>
      <c r="Z21" s="43">
        <f>$P21*'1-Payment Pattern'!N25</f>
        <v>0</v>
      </c>
      <c r="AA21" s="23">
        <f t="shared" si="12"/>
        <v>4585786.418087068</v>
      </c>
    </row>
    <row r="22" spans="1:27" x14ac:dyDescent="0.3">
      <c r="A22" s="48">
        <f>A23-1</f>
        <v>2021</v>
      </c>
      <c r="B22" s="19">
        <v>4671431</v>
      </c>
      <c r="C22" s="10">
        <f>$B22*'1-Payment Pattern'!E25</f>
        <v>1274026.6363636362</v>
      </c>
      <c r="D22" s="10">
        <f>$B22*'1-Payment Pattern'!F25</f>
        <v>849351.09090909094</v>
      </c>
      <c r="E22" s="10">
        <f>$B22*'1-Payment Pattern'!G25</f>
        <v>637013.31818181812</v>
      </c>
      <c r="F22" s="10">
        <f>$B22*'1-Payment Pattern'!H25</f>
        <v>637013.31818181812</v>
      </c>
      <c r="G22" s="10">
        <f>$B22*'1-Payment Pattern'!I25</f>
        <v>424675.54545454547</v>
      </c>
      <c r="H22" s="10">
        <f>$B22*'1-Payment Pattern'!J25</f>
        <v>424675.54545454547</v>
      </c>
      <c r="I22" s="10">
        <f>$B22*'1-Payment Pattern'!K25</f>
        <v>212337.77272727274</v>
      </c>
      <c r="J22" s="10">
        <f>$B22*'1-Payment Pattern'!L25</f>
        <v>212337.77272727274</v>
      </c>
      <c r="K22" s="10">
        <f>$B22*'1-Payment Pattern'!M25</f>
        <v>0</v>
      </c>
      <c r="L22" s="10">
        <f>$B22*'1-Payment Pattern'!N25</f>
        <v>0</v>
      </c>
      <c r="M22" s="23">
        <f t="shared" si="10"/>
        <v>4336716.562553769</v>
      </c>
      <c r="O22" s="48">
        <f>O23-1</f>
        <v>2021</v>
      </c>
      <c r="P22" s="19">
        <v>7579438.2195123304</v>
      </c>
      <c r="Q22" s="43">
        <f>$P22*'1-Payment Pattern'!E26</f>
        <v>2021183.5252032881</v>
      </c>
      <c r="R22" s="43">
        <f>$P22*'1-Payment Pattern'!F26</f>
        <v>1515887.6439024659</v>
      </c>
      <c r="S22" s="43">
        <f>$P22*'1-Payment Pattern'!G26</f>
        <v>1010591.762601644</v>
      </c>
      <c r="T22" s="43">
        <f>$P22*'1-Payment Pattern'!H26</f>
        <v>757943.82195123297</v>
      </c>
      <c r="U22" s="43">
        <f>$P22*'1-Payment Pattern'!I26</f>
        <v>757943.82195123297</v>
      </c>
      <c r="V22" s="43">
        <f>$P22*'1-Payment Pattern'!J26</f>
        <v>505295.88130082202</v>
      </c>
      <c r="W22" s="43">
        <f>$P22*'1-Payment Pattern'!K26</f>
        <v>505295.88130082202</v>
      </c>
      <c r="X22" s="43">
        <f>$P22*'1-Payment Pattern'!L26</f>
        <v>252647.94065041101</v>
      </c>
      <c r="Y22" s="43">
        <f>$P22*'1-Payment Pattern'!M26</f>
        <v>252647.94065041101</v>
      </c>
      <c r="Z22" s="43">
        <f>$P22*'1-Payment Pattern'!N26</f>
        <v>0</v>
      </c>
      <c r="AA22" s="23">
        <f t="shared" si="12"/>
        <v>7000669.7979343142</v>
      </c>
    </row>
    <row r="23" spans="1:27" x14ac:dyDescent="0.3">
      <c r="A23" s="48">
        <f>YEAR(ValDate)</f>
        <v>2022</v>
      </c>
      <c r="B23" s="20">
        <v>6652201</v>
      </c>
      <c r="C23" s="10">
        <f>$B23*'1-Payment Pattern'!E26</f>
        <v>1773920.2666666666</v>
      </c>
      <c r="D23" s="10">
        <f>$B23*'1-Payment Pattern'!F26</f>
        <v>1330440.2</v>
      </c>
      <c r="E23" s="10">
        <f>$B23*'1-Payment Pattern'!G26</f>
        <v>886960.1333333333</v>
      </c>
      <c r="F23" s="10">
        <f>$B23*'1-Payment Pattern'!H26</f>
        <v>665220.1</v>
      </c>
      <c r="G23" s="10">
        <f>$B23*'1-Payment Pattern'!I26</f>
        <v>665220.1</v>
      </c>
      <c r="H23" s="10">
        <f>$B23*'1-Payment Pattern'!J26</f>
        <v>443480.06666666665</v>
      </c>
      <c r="I23" s="10">
        <f>$B23*'1-Payment Pattern'!K26</f>
        <v>443480.06666666665</v>
      </c>
      <c r="J23" s="10">
        <f>$B23*'1-Payment Pattern'!L26</f>
        <v>221740.03333333333</v>
      </c>
      <c r="K23" s="10">
        <f>$B23*'1-Payment Pattern'!M26</f>
        <v>221740.03333333333</v>
      </c>
      <c r="L23" s="10">
        <f>$B23*'1-Payment Pattern'!N26</f>
        <v>0</v>
      </c>
      <c r="M23" s="24">
        <f t="shared" si="10"/>
        <v>6152439.8395328578</v>
      </c>
      <c r="O23" s="48">
        <f>$A$23</f>
        <v>2022</v>
      </c>
      <c r="P23" s="54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24">
        <f t="shared" si="12"/>
        <v>0</v>
      </c>
    </row>
    <row r="24" spans="1:27" x14ac:dyDescent="0.3">
      <c r="A24" s="8"/>
      <c r="B24" s="11">
        <f t="shared" ref="B24:M24" si="13">SUM(B13:B23)</f>
        <v>28337816</v>
      </c>
      <c r="C24" s="11">
        <f t="shared" si="13"/>
        <v>8468112.9863636345</v>
      </c>
      <c r="D24" s="11">
        <f t="shared" si="13"/>
        <v>6158357.7075757561</v>
      </c>
      <c r="E24" s="11">
        <f t="shared" si="13"/>
        <v>4708358.2848484833</v>
      </c>
      <c r="F24" s="11">
        <f t="shared" si="13"/>
        <v>3267771.5848484845</v>
      </c>
      <c r="G24" s="11">
        <f t="shared" si="13"/>
        <v>2652400.2287878785</v>
      </c>
      <c r="H24" s="11">
        <f t="shared" si="13"/>
        <v>1421409.2787878788</v>
      </c>
      <c r="I24" s="11">
        <f t="shared" si="13"/>
        <v>1005588.0893939394</v>
      </c>
      <c r="J24" s="11">
        <f t="shared" si="13"/>
        <v>434077.80606060603</v>
      </c>
      <c r="K24" s="11">
        <f t="shared" si="13"/>
        <v>221740.03333333333</v>
      </c>
      <c r="L24" s="11">
        <f t="shared" si="13"/>
        <v>0</v>
      </c>
      <c r="M24" s="11">
        <f t="shared" si="13"/>
        <v>26592139.523541726</v>
      </c>
      <c r="O24" s="8"/>
      <c r="P24" s="11">
        <f t="shared" ref="P24:AA24" si="14">SUM(P13:P23)</f>
        <v>30751750.979631685</v>
      </c>
      <c r="Q24" s="11">
        <f t="shared" si="14"/>
        <v>9091644.5047224388</v>
      </c>
      <c r="R24" s="11">
        <f t="shared" si="14"/>
        <v>6662388.8669343246</v>
      </c>
      <c r="S24" s="11">
        <f t="shared" si="14"/>
        <v>5124529.8212171569</v>
      </c>
      <c r="T24" s="11">
        <f t="shared" si="14"/>
        <v>3558876.2401928152</v>
      </c>
      <c r="U24" s="11">
        <f t="shared" si="14"/>
        <v>2905820.7666940172</v>
      </c>
      <c r="V24" s="11">
        <f t="shared" si="14"/>
        <v>1550512.9035800726</v>
      </c>
      <c r="W24" s="11">
        <f t="shared" si="14"/>
        <v>1127860.0692460211</v>
      </c>
      <c r="X24" s="11">
        <f t="shared" si="14"/>
        <v>477469.86639441806</v>
      </c>
      <c r="Y24" s="11">
        <f t="shared" si="14"/>
        <v>252647.94065041101</v>
      </c>
      <c r="Z24" s="11">
        <f t="shared" si="14"/>
        <v>0</v>
      </c>
      <c r="AA24" s="11">
        <f t="shared" si="14"/>
        <v>28809891.444718041</v>
      </c>
    </row>
    <row r="25" spans="1:27" x14ac:dyDescent="0.3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8" spans="1:27" x14ac:dyDescent="0.3">
      <c r="A28" t="s">
        <v>188</v>
      </c>
      <c r="C28" s="17">
        <f t="array" ref="C28:L28">TRANSPOSE('2-Current Curve'!$AJ$13:$AJ$22)</f>
        <v>2.3892299999999998E-2</v>
      </c>
      <c r="D28" s="17">
        <v>2.4912E-2</v>
      </c>
      <c r="E28" s="17">
        <v>2.60915E-2</v>
      </c>
      <c r="F28" s="17">
        <v>2.7719599999999997E-2</v>
      </c>
      <c r="G28" s="17">
        <v>2.8338700000000001E-2</v>
      </c>
      <c r="H28" s="17">
        <v>2.8962799999999997E-2</v>
      </c>
      <c r="I28" s="17">
        <v>2.9602400000000001E-2</v>
      </c>
      <c r="J28" s="17">
        <v>3.0265299999999998E-2</v>
      </c>
      <c r="K28" s="17">
        <v>3.0956000000000001E-2</v>
      </c>
      <c r="L28" s="17">
        <v>3.1675099999999998E-2</v>
      </c>
      <c r="O28" t="s">
        <v>20</v>
      </c>
      <c r="Q28" s="22">
        <f t="array" ref="Q28:Z28">TRANSPOSE('6-Income Statement Calculations'!D14:D23)</f>
        <v>2.4392299999999999E-2</v>
      </c>
      <c r="R28" s="22">
        <v>2.5412000000000001E-2</v>
      </c>
      <c r="S28" s="22">
        <v>2.6591500000000001E-2</v>
      </c>
      <c r="T28" s="22">
        <v>2.8219599999999997E-2</v>
      </c>
      <c r="U28" s="22">
        <v>2.8838700000000002E-2</v>
      </c>
      <c r="V28" s="22">
        <v>2.9462799999999997E-2</v>
      </c>
      <c r="W28" s="22">
        <v>3.0102400000000001E-2</v>
      </c>
      <c r="X28" s="22">
        <v>3.0765299999999999E-2</v>
      </c>
      <c r="Y28" s="22">
        <v>3.1455999999999998E-2</v>
      </c>
      <c r="Z28" s="22">
        <v>3.2175099999999998E-2</v>
      </c>
    </row>
    <row r="31" spans="1:27" x14ac:dyDescent="0.3">
      <c r="A31" t="s">
        <v>189</v>
      </c>
      <c r="O31" t="s">
        <v>31</v>
      </c>
    </row>
    <row r="32" spans="1:27" x14ac:dyDescent="0.3">
      <c r="A32" t="s">
        <v>32</v>
      </c>
      <c r="C32" s="21">
        <v>0.5</v>
      </c>
      <c r="D32" s="21">
        <f t="shared" ref="D32:L32" si="15">+C32+1</f>
        <v>1.5</v>
      </c>
      <c r="E32" s="21">
        <f t="shared" si="15"/>
        <v>2.5</v>
      </c>
      <c r="F32" s="21">
        <f t="shared" si="15"/>
        <v>3.5</v>
      </c>
      <c r="G32" s="21">
        <f t="shared" si="15"/>
        <v>4.5</v>
      </c>
      <c r="H32" s="21">
        <f t="shared" si="15"/>
        <v>5.5</v>
      </c>
      <c r="I32" s="21">
        <f t="shared" si="15"/>
        <v>6.5</v>
      </c>
      <c r="J32" s="21">
        <f t="shared" si="15"/>
        <v>7.5</v>
      </c>
      <c r="K32" s="21">
        <f t="shared" si="15"/>
        <v>8.5</v>
      </c>
      <c r="L32" s="21">
        <f t="shared" si="15"/>
        <v>9.5</v>
      </c>
      <c r="O32" t="s">
        <v>32</v>
      </c>
      <c r="Q32" s="21">
        <v>0.5</v>
      </c>
      <c r="R32" s="21">
        <f t="shared" ref="R32" si="16">+Q32+1</f>
        <v>1.5</v>
      </c>
      <c r="S32" s="21">
        <f t="shared" ref="S32" si="17">+R32+1</f>
        <v>2.5</v>
      </c>
      <c r="T32" s="21">
        <f t="shared" ref="T32" si="18">+S32+1</f>
        <v>3.5</v>
      </c>
      <c r="U32" s="21">
        <f t="shared" ref="U32" si="19">+T32+1</f>
        <v>4.5</v>
      </c>
      <c r="V32" s="21">
        <f t="shared" ref="V32" si="20">+U32+1</f>
        <v>5.5</v>
      </c>
      <c r="W32" s="21">
        <f t="shared" ref="W32" si="21">+V32+1</f>
        <v>6.5</v>
      </c>
      <c r="X32" s="21">
        <f t="shared" ref="X32" si="22">+W32+1</f>
        <v>7.5</v>
      </c>
      <c r="Y32" s="21">
        <f t="shared" ref="Y32" si="23">+X32+1</f>
        <v>8.5</v>
      </c>
      <c r="Z32" s="21">
        <f t="shared" ref="Z32" si="24">+Y32+1</f>
        <v>9.5</v>
      </c>
    </row>
    <row r="35" spans="1:26" x14ac:dyDescent="0.3">
      <c r="A35" t="s">
        <v>190</v>
      </c>
      <c r="C35" s="18">
        <f t="shared" ref="C35:L35" si="25">(1+C28)^-C32</f>
        <v>0.98826374087471902</v>
      </c>
      <c r="D35" s="18">
        <f t="shared" si="25"/>
        <v>0.96376274204975276</v>
      </c>
      <c r="E35" s="18">
        <f t="shared" si="25"/>
        <v>0.93763708282512825</v>
      </c>
      <c r="F35" s="18">
        <f t="shared" si="25"/>
        <v>0.90873815452316931</v>
      </c>
      <c r="G35" s="18">
        <f t="shared" si="25"/>
        <v>0.88183471046075401</v>
      </c>
      <c r="H35" s="18">
        <f t="shared" si="25"/>
        <v>0.85467655892443017</v>
      </c>
      <c r="I35" s="18">
        <f t="shared" si="25"/>
        <v>0.82727128395566785</v>
      </c>
      <c r="J35" s="18">
        <f t="shared" si="25"/>
        <v>0.79961688147267151</v>
      </c>
      <c r="K35" s="18">
        <f t="shared" si="25"/>
        <v>0.77171846319786686</v>
      </c>
      <c r="L35" s="18">
        <f t="shared" si="25"/>
        <v>0.7436044616058467</v>
      </c>
      <c r="O35" t="s">
        <v>29</v>
      </c>
      <c r="Q35" s="18">
        <f t="shared" ref="Q35:Z35" si="26">(1+Q28)^-Q32</f>
        <v>0.98802252850867101</v>
      </c>
      <c r="R35" s="18">
        <f t="shared" si="26"/>
        <v>0.96305791907541549</v>
      </c>
      <c r="S35" s="18">
        <f t="shared" si="26"/>
        <v>0.93649581265525506</v>
      </c>
      <c r="T35" s="18">
        <f t="shared" si="26"/>
        <v>0.90719244838057267</v>
      </c>
      <c r="U35" s="18">
        <f t="shared" si="26"/>
        <v>0.87990783763458957</v>
      </c>
      <c r="V35" s="18">
        <f t="shared" si="26"/>
        <v>0.85239595829365722</v>
      </c>
      <c r="W35" s="18">
        <f t="shared" si="26"/>
        <v>0.82466470285388283</v>
      </c>
      <c r="X35" s="18">
        <f t="shared" si="26"/>
        <v>0.79671239848659492</v>
      </c>
      <c r="Y35" s="18">
        <f t="shared" si="26"/>
        <v>0.76854445709551256</v>
      </c>
      <c r="Z35" s="18">
        <f t="shared" si="26"/>
        <v>0.74018948075131163</v>
      </c>
    </row>
    <row r="39" spans="1:26" x14ac:dyDescent="0.3">
      <c r="A39" s="5" t="s">
        <v>13</v>
      </c>
    </row>
    <row r="40" spans="1:26" x14ac:dyDescent="0.3">
      <c r="A40" s="46" t="s">
        <v>191</v>
      </c>
    </row>
    <row r="41" spans="1:26" x14ac:dyDescent="0.3">
      <c r="A41" s="46" t="s">
        <v>192</v>
      </c>
    </row>
    <row r="42" spans="1:26" x14ac:dyDescent="0.3">
      <c r="A42" s="46" t="s">
        <v>289</v>
      </c>
    </row>
    <row r="43" spans="1:26" x14ac:dyDescent="0.3">
      <c r="A43" s="46" t="s">
        <v>288</v>
      </c>
    </row>
    <row r="44" spans="1:26" x14ac:dyDescent="0.3">
      <c r="A44" s="46" t="s">
        <v>193</v>
      </c>
    </row>
    <row r="45" spans="1:26" x14ac:dyDescent="0.3">
      <c r="A45" s="46" t="s">
        <v>194</v>
      </c>
    </row>
  </sheetData>
  <sheetProtection sheet="1" objects="1" scenarios="1"/>
  <printOptions horizontalCentered="1"/>
  <pageMargins left="0.70866141732283472" right="0.70866141732283472" top="0.74803149606299213" bottom="0.35433070866141736" header="0.31496062992125984" footer="0.31496062992125984"/>
  <pageSetup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5414-F502-4371-ABB1-4E638C2C3534}">
  <dimension ref="A1:K31"/>
  <sheetViews>
    <sheetView view="pageBreakPreview" zoomScale="85" zoomScaleNormal="100" zoomScaleSheetLayoutView="85" workbookViewId="0">
      <selection activeCell="A31" sqref="A31"/>
    </sheetView>
  </sheetViews>
  <sheetFormatPr defaultColWidth="11.77734375" defaultRowHeight="14.4" x14ac:dyDescent="0.3"/>
  <cols>
    <col min="1" max="1" width="9.5546875" style="41" customWidth="1"/>
    <col min="2" max="6" width="14.21875" style="41" customWidth="1"/>
    <col min="7" max="7" width="9.5546875" style="41" customWidth="1"/>
    <col min="8" max="11" width="14.21875" style="41" customWidth="1"/>
    <col min="12" max="16384" width="11.77734375" style="41"/>
  </cols>
  <sheetData>
    <row r="1" spans="1:11" x14ac:dyDescent="0.3">
      <c r="A1" s="104" t="s">
        <v>130</v>
      </c>
      <c r="B1" s="104"/>
      <c r="C1" s="104"/>
      <c r="D1" s="105"/>
      <c r="E1" s="105"/>
      <c r="G1" s="104" t="s">
        <v>232</v>
      </c>
      <c r="H1" s="104"/>
      <c r="I1" s="104"/>
      <c r="J1" s="105"/>
      <c r="K1" s="105"/>
    </row>
    <row r="2" spans="1:11" x14ac:dyDescent="0.3">
      <c r="A2" s="105"/>
      <c r="B2" s="105"/>
      <c r="C2" s="105"/>
      <c r="D2" s="105"/>
      <c r="E2" s="105"/>
      <c r="G2" s="105"/>
      <c r="H2" s="105"/>
      <c r="I2" s="105"/>
      <c r="J2" s="105"/>
      <c r="K2" s="105"/>
    </row>
    <row r="3" spans="1:11" x14ac:dyDescent="0.3">
      <c r="A3" s="104" t="str">
        <f>CompanyName</f>
        <v>Company ABC</v>
      </c>
      <c r="B3" s="104"/>
      <c r="C3" s="104"/>
      <c r="D3" s="105"/>
      <c r="E3" s="105"/>
      <c r="G3" s="104" t="str">
        <f>CompanyName</f>
        <v>Company ABC</v>
      </c>
      <c r="H3" s="104"/>
      <c r="I3" s="104"/>
      <c r="J3" s="105"/>
      <c r="K3" s="105"/>
    </row>
    <row r="4" spans="1:11" x14ac:dyDescent="0.3">
      <c r="A4" s="105" t="s">
        <v>50</v>
      </c>
      <c r="B4" s="105"/>
      <c r="C4" s="105"/>
      <c r="D4" s="105"/>
      <c r="E4" s="105"/>
      <c r="G4" s="105" t="s">
        <v>50</v>
      </c>
      <c r="H4" s="105"/>
      <c r="I4" s="105"/>
      <c r="J4" s="105"/>
      <c r="K4" s="105"/>
    </row>
    <row r="5" spans="1:11" x14ac:dyDescent="0.3">
      <c r="A5" s="105" t="str">
        <f>"As at "&amp;TEXT(ValDate,"mmmm dd, yyyy")</f>
        <v>As at December 31, 2022</v>
      </c>
      <c r="B5" s="105"/>
      <c r="C5" s="105"/>
      <c r="D5" s="105"/>
      <c r="E5" s="105"/>
      <c r="G5" s="105" t="str">
        <f>"As at "&amp;TEXT(ValDate-365,"mmmm dd, yyyy")</f>
        <v>As at December 31, 2021</v>
      </c>
      <c r="H5" s="105"/>
      <c r="I5" s="105"/>
      <c r="J5" s="105"/>
      <c r="K5" s="105"/>
    </row>
    <row r="8" spans="1:11" x14ac:dyDescent="0.3">
      <c r="B8" s="107" t="s">
        <v>14</v>
      </c>
      <c r="C8" s="107" t="s">
        <v>15</v>
      </c>
      <c r="D8" s="107" t="s">
        <v>16</v>
      </c>
      <c r="E8" s="107" t="s">
        <v>113</v>
      </c>
      <c r="H8" s="107" t="s">
        <v>14</v>
      </c>
      <c r="I8" s="107" t="s">
        <v>15</v>
      </c>
      <c r="J8" s="107" t="s">
        <v>16</v>
      </c>
      <c r="K8" s="107" t="s">
        <v>113</v>
      </c>
    </row>
    <row r="9" spans="1:11" x14ac:dyDescent="0.3">
      <c r="B9" s="119" t="s">
        <v>129</v>
      </c>
      <c r="C9" s="119"/>
      <c r="D9" s="119"/>
      <c r="E9" s="120"/>
      <c r="H9" s="119" t="s">
        <v>129</v>
      </c>
      <c r="I9" s="119"/>
      <c r="J9" s="119"/>
      <c r="K9" s="120"/>
    </row>
    <row r="10" spans="1:11" x14ac:dyDescent="0.3">
      <c r="A10" s="97" t="s">
        <v>9</v>
      </c>
      <c r="B10" s="88" t="s">
        <v>66</v>
      </c>
      <c r="C10" s="88" t="s">
        <v>21</v>
      </c>
      <c r="D10" s="88" t="s">
        <v>68</v>
      </c>
      <c r="E10" s="45" t="s">
        <v>69</v>
      </c>
      <c r="F10" s="40"/>
      <c r="G10" s="97" t="s">
        <v>9</v>
      </c>
      <c r="H10" s="88" t="s">
        <v>66</v>
      </c>
      <c r="I10" s="88" t="s">
        <v>21</v>
      </c>
      <c r="J10" s="88" t="s">
        <v>68</v>
      </c>
      <c r="K10" s="45" t="s">
        <v>69</v>
      </c>
    </row>
    <row r="11" spans="1:11" x14ac:dyDescent="0.3">
      <c r="A11" s="80" t="s">
        <v>10</v>
      </c>
      <c r="B11" s="30" t="s">
        <v>67</v>
      </c>
      <c r="C11" s="30" t="s">
        <v>67</v>
      </c>
      <c r="D11" s="30" t="s">
        <v>43</v>
      </c>
      <c r="E11" s="51" t="s">
        <v>67</v>
      </c>
      <c r="F11" s="40"/>
      <c r="G11" s="80" t="s">
        <v>10</v>
      </c>
      <c r="H11" s="30" t="s">
        <v>67</v>
      </c>
      <c r="I11" s="30" t="s">
        <v>67</v>
      </c>
      <c r="J11" s="30" t="s">
        <v>43</v>
      </c>
      <c r="K11" s="51" t="s">
        <v>67</v>
      </c>
    </row>
    <row r="12" spans="1:11" x14ac:dyDescent="0.3">
      <c r="A12" s="97">
        <f t="shared" ref="A12:A21" si="0">A13-1</f>
        <v>2012</v>
      </c>
      <c r="B12" s="55">
        <f>'3-Current'!B13</f>
        <v>0</v>
      </c>
      <c r="C12" s="55">
        <f>'3-Current'!M13</f>
        <v>0</v>
      </c>
      <c r="D12" s="55">
        <f t="shared" ref="D12:D22" si="1">0.05*C12</f>
        <v>0</v>
      </c>
      <c r="E12" s="61">
        <f t="shared" ref="E12:E22" si="2">+C12+D12</f>
        <v>0</v>
      </c>
      <c r="F12" s="40"/>
      <c r="G12" s="97">
        <f t="shared" ref="G12:G21" si="3">G13-1</f>
        <v>2012</v>
      </c>
      <c r="H12" s="55">
        <f>'3-Current'!P13</f>
        <v>0</v>
      </c>
      <c r="I12" s="55">
        <f>'3-Current'!AA13</f>
        <v>0</v>
      </c>
      <c r="J12" s="55">
        <f t="shared" ref="J12:J22" si="4">0.075*I12</f>
        <v>0</v>
      </c>
      <c r="K12" s="61">
        <f t="shared" ref="K12:K22" si="5">+I12+J12</f>
        <v>0</v>
      </c>
    </row>
    <row r="13" spans="1:11" collapsed="1" x14ac:dyDescent="0.3">
      <c r="A13" s="97">
        <f t="shared" si="0"/>
        <v>2013</v>
      </c>
      <c r="B13" s="55">
        <f>'3-Current'!B14</f>
        <v>45264</v>
      </c>
      <c r="C13" s="55">
        <f>'3-Current'!M14</f>
        <v>44732.769966953281</v>
      </c>
      <c r="D13" s="55">
        <f t="shared" si="1"/>
        <v>2236.6384983476642</v>
      </c>
      <c r="E13" s="61">
        <f t="shared" si="2"/>
        <v>46969.408465300949</v>
      </c>
      <c r="F13" s="40"/>
      <c r="G13" s="97">
        <f t="shared" si="3"/>
        <v>2013</v>
      </c>
      <c r="H13" s="55">
        <f>'3-Current'!P14</f>
        <v>161310.26462534757</v>
      </c>
      <c r="I13" s="55">
        <f>'3-Current'!AA14</f>
        <v>159378.17552953862</v>
      </c>
      <c r="J13" s="55">
        <f t="shared" si="4"/>
        <v>11953.363164715396</v>
      </c>
      <c r="K13" s="61">
        <f t="shared" si="5"/>
        <v>171331.53869425401</v>
      </c>
    </row>
    <row r="14" spans="1:11" x14ac:dyDescent="0.3">
      <c r="A14" s="97">
        <f t="shared" si="0"/>
        <v>2014</v>
      </c>
      <c r="B14" s="55">
        <f>'3-Current'!B15</f>
        <v>177489</v>
      </c>
      <c r="C14" s="55">
        <f>'3-Current'!M15</f>
        <v>175405.94310411287</v>
      </c>
      <c r="D14" s="55">
        <f t="shared" si="1"/>
        <v>8770.2971552056442</v>
      </c>
      <c r="E14" s="61">
        <f t="shared" si="2"/>
        <v>184176.24025931853</v>
      </c>
      <c r="F14" s="40"/>
      <c r="G14" s="97">
        <f t="shared" si="3"/>
        <v>2014</v>
      </c>
      <c r="H14" s="55">
        <f>'3-Current'!P15</f>
        <v>759015.3818350971</v>
      </c>
      <c r="I14" s="55">
        <f>'3-Current'!AA15</f>
        <v>740450.03545701317</v>
      </c>
      <c r="J14" s="55">
        <f t="shared" si="4"/>
        <v>55533.75265927599</v>
      </c>
      <c r="K14" s="61">
        <f t="shared" si="5"/>
        <v>795983.78811628919</v>
      </c>
    </row>
    <row r="15" spans="1:11" x14ac:dyDescent="0.3">
      <c r="A15" s="97">
        <f t="shared" si="0"/>
        <v>2015</v>
      </c>
      <c r="B15" s="55">
        <f>'3-Current'!B16</f>
        <v>782296</v>
      </c>
      <c r="C15" s="55">
        <f>'3-Current'!M16</f>
        <v>763531.25474294065</v>
      </c>
      <c r="D15" s="55">
        <f t="shared" si="1"/>
        <v>38176.562737147033</v>
      </c>
      <c r="E15" s="61">
        <f t="shared" si="2"/>
        <v>801707.81748008775</v>
      </c>
      <c r="F15" s="40"/>
      <c r="G15" s="97">
        <f t="shared" si="3"/>
        <v>2015</v>
      </c>
      <c r="H15" s="55">
        <f>'3-Current'!P16</f>
        <v>841382.87164158828</v>
      </c>
      <c r="I15" s="55">
        <f>'3-Current'!AA16</f>
        <v>815215.60955186537</v>
      </c>
      <c r="J15" s="55">
        <f t="shared" si="4"/>
        <v>61141.170716389897</v>
      </c>
      <c r="K15" s="61">
        <f t="shared" si="5"/>
        <v>876356.78026825527</v>
      </c>
    </row>
    <row r="16" spans="1:11" x14ac:dyDescent="0.3">
      <c r="A16" s="97">
        <f t="shared" si="0"/>
        <v>2016</v>
      </c>
      <c r="B16" s="55">
        <f>'3-Current'!B17</f>
        <v>838383</v>
      </c>
      <c r="C16" s="55">
        <f>'3-Current'!M17</f>
        <v>812797.08227740345</v>
      </c>
      <c r="D16" s="55">
        <f t="shared" si="1"/>
        <v>40639.854113870177</v>
      </c>
      <c r="E16" s="61">
        <f t="shared" si="2"/>
        <v>853436.93639127363</v>
      </c>
      <c r="F16" s="40"/>
      <c r="G16" s="97">
        <f t="shared" si="3"/>
        <v>2016</v>
      </c>
      <c r="H16" s="55">
        <f>'3-Current'!P17</f>
        <v>1382415.8349884809</v>
      </c>
      <c r="I16" s="55">
        <f>'3-Current'!AA17</f>
        <v>1323858.8098319343</v>
      </c>
      <c r="J16" s="55">
        <f t="shared" si="4"/>
        <v>99289.410737395068</v>
      </c>
      <c r="K16" s="61">
        <f t="shared" si="5"/>
        <v>1423148.2205693293</v>
      </c>
    </row>
    <row r="17" spans="1:11" x14ac:dyDescent="0.3">
      <c r="A17" s="97">
        <f t="shared" si="0"/>
        <v>2017</v>
      </c>
      <c r="B17" s="55">
        <f>'3-Current'!B18</f>
        <v>1197301</v>
      </c>
      <c r="C17" s="55">
        <f>'3-Current'!M18</f>
        <v>1147498.906352709</v>
      </c>
      <c r="D17" s="55">
        <f t="shared" si="1"/>
        <v>57374.945317635458</v>
      </c>
      <c r="E17" s="61">
        <f t="shared" si="2"/>
        <v>1204873.8516703446</v>
      </c>
      <c r="F17" s="40"/>
      <c r="G17" s="97">
        <f t="shared" si="3"/>
        <v>2017</v>
      </c>
      <c r="H17" s="55">
        <f>'3-Current'!P18</f>
        <v>6344258.9423610773</v>
      </c>
      <c r="I17" s="55">
        <f>'3-Current'!AA18</f>
        <v>6027240.0837487839</v>
      </c>
      <c r="J17" s="55">
        <f t="shared" si="4"/>
        <v>452043.00628115877</v>
      </c>
      <c r="K17" s="61">
        <f t="shared" si="5"/>
        <v>6479283.0900299428</v>
      </c>
    </row>
    <row r="18" spans="1:11" x14ac:dyDescent="0.3">
      <c r="A18" s="97">
        <f t="shared" si="0"/>
        <v>2018</v>
      </c>
      <c r="B18" s="55">
        <f>'3-Current'!B19</f>
        <v>5935326</v>
      </c>
      <c r="C18" s="55">
        <f>'3-Current'!M19</f>
        <v>5643943.5269552395</v>
      </c>
      <c r="D18" s="55">
        <f t="shared" si="1"/>
        <v>282197.176347762</v>
      </c>
      <c r="E18" s="61">
        <f t="shared" si="2"/>
        <v>5926140.7033030018</v>
      </c>
      <c r="F18" s="40"/>
      <c r="G18" s="97">
        <f t="shared" si="3"/>
        <v>2018</v>
      </c>
      <c r="H18" s="55">
        <f>'3-Current'!P19</f>
        <v>2373970.9030805328</v>
      </c>
      <c r="I18" s="55">
        <f>'3-Current'!AA19</f>
        <v>2230132.3346109921</v>
      </c>
      <c r="J18" s="55">
        <f t="shared" si="4"/>
        <v>167259.92509582441</v>
      </c>
      <c r="K18" s="61">
        <f t="shared" si="5"/>
        <v>2397392.2597068166</v>
      </c>
    </row>
    <row r="19" spans="1:11" x14ac:dyDescent="0.3">
      <c r="A19" s="97">
        <f t="shared" si="0"/>
        <v>2019</v>
      </c>
      <c r="B19" s="55">
        <f>'3-Current'!B20</f>
        <v>2441801</v>
      </c>
      <c r="C19" s="55">
        <f>'3-Current'!M20</f>
        <v>2296379.7841712502</v>
      </c>
      <c r="D19" s="55">
        <f t="shared" si="1"/>
        <v>114818.98920856252</v>
      </c>
      <c r="E19" s="61">
        <f t="shared" si="2"/>
        <v>2411198.7733798125</v>
      </c>
      <c r="F19" s="40"/>
      <c r="G19" s="97">
        <f t="shared" si="3"/>
        <v>2019</v>
      </c>
      <c r="H19" s="55">
        <f>'3-Current'!P20</f>
        <v>6363876.1952190734</v>
      </c>
      <c r="I19" s="55">
        <f>'3-Current'!AA20</f>
        <v>5927160.179966527</v>
      </c>
      <c r="J19" s="55">
        <f t="shared" si="4"/>
        <v>444537.0134974895</v>
      </c>
      <c r="K19" s="61">
        <f t="shared" si="5"/>
        <v>6371697.1934640165</v>
      </c>
    </row>
    <row r="20" spans="1:11" x14ac:dyDescent="0.3">
      <c r="A20" s="97">
        <f t="shared" si="0"/>
        <v>2020</v>
      </c>
      <c r="B20" s="55">
        <f>'3-Current'!B21</f>
        <v>5596324</v>
      </c>
      <c r="C20" s="55">
        <f>'3-Current'!M21</f>
        <v>5218693.8538844911</v>
      </c>
      <c r="D20" s="55">
        <f t="shared" si="1"/>
        <v>260934.69269422456</v>
      </c>
      <c r="E20" s="61">
        <f t="shared" si="2"/>
        <v>5479628.5465787156</v>
      </c>
      <c r="F20" s="40"/>
      <c r="G20" s="97">
        <f t="shared" si="3"/>
        <v>2020</v>
      </c>
      <c r="H20" s="55">
        <f>'3-Current'!P21</f>
        <v>4946082.366368155</v>
      </c>
      <c r="I20" s="55">
        <f>'3-Current'!AA21</f>
        <v>4585786.418087068</v>
      </c>
      <c r="J20" s="55">
        <f t="shared" si="4"/>
        <v>343933.9813565301</v>
      </c>
      <c r="K20" s="61">
        <f t="shared" si="5"/>
        <v>4929720.3994435985</v>
      </c>
    </row>
    <row r="21" spans="1:11" x14ac:dyDescent="0.3">
      <c r="A21" s="97">
        <f t="shared" si="0"/>
        <v>2021</v>
      </c>
      <c r="B21" s="55">
        <f>'3-Current'!B22</f>
        <v>4671431</v>
      </c>
      <c r="C21" s="55">
        <f>'3-Current'!M22</f>
        <v>4336716.562553769</v>
      </c>
      <c r="D21" s="55">
        <f t="shared" si="1"/>
        <v>216835.82812768847</v>
      </c>
      <c r="E21" s="61">
        <f t="shared" si="2"/>
        <v>4553552.3906814577</v>
      </c>
      <c r="F21" s="40"/>
      <c r="G21" s="97">
        <f t="shared" si="3"/>
        <v>2021</v>
      </c>
      <c r="H21" s="55">
        <f>'3-Current'!P22</f>
        <v>7579438.2195123304</v>
      </c>
      <c r="I21" s="55">
        <f>'3-Current'!AA22</f>
        <v>7000669.7979343142</v>
      </c>
      <c r="J21" s="55">
        <f t="shared" si="4"/>
        <v>525050.23484507354</v>
      </c>
      <c r="K21" s="61">
        <f t="shared" si="5"/>
        <v>7525720.0327793881</v>
      </c>
    </row>
    <row r="22" spans="1:11" x14ac:dyDescent="0.3">
      <c r="A22" s="97">
        <f>YEAR(ValDate)</f>
        <v>2022</v>
      </c>
      <c r="B22" s="55">
        <f>'3-Current'!B23</f>
        <v>6652201</v>
      </c>
      <c r="C22" s="55">
        <f>'3-Current'!M23</f>
        <v>6152439.8395328578</v>
      </c>
      <c r="D22" s="55">
        <f t="shared" si="1"/>
        <v>307621.99197664292</v>
      </c>
      <c r="E22" s="121">
        <f t="shared" si="2"/>
        <v>6460061.8315095007</v>
      </c>
      <c r="F22" s="40"/>
      <c r="G22" s="97">
        <f>A22</f>
        <v>2022</v>
      </c>
      <c r="H22" s="55">
        <f>'3-Current'!P23</f>
        <v>0</v>
      </c>
      <c r="I22" s="55">
        <f>'3-Current'!AA23</f>
        <v>0</v>
      </c>
      <c r="J22" s="55">
        <f t="shared" si="4"/>
        <v>0</v>
      </c>
      <c r="K22" s="121">
        <f t="shared" si="5"/>
        <v>0</v>
      </c>
    </row>
    <row r="23" spans="1:11" x14ac:dyDescent="0.3">
      <c r="A23" s="39"/>
      <c r="B23" s="57">
        <f>SUM(B12:B22)</f>
        <v>28337816</v>
      </c>
      <c r="C23" s="57">
        <f>SUM(C12:C22)</f>
        <v>26592139.523541726</v>
      </c>
      <c r="D23" s="57">
        <f>SUM(D12:D22)</f>
        <v>1329606.9761770864</v>
      </c>
      <c r="E23" s="57">
        <f>SUM(E12:E22)</f>
        <v>27921746.499718811</v>
      </c>
      <c r="F23" s="40"/>
      <c r="G23" s="39"/>
      <c r="H23" s="57">
        <f>SUM(H12:H22)</f>
        <v>30751750.979631685</v>
      </c>
      <c r="I23" s="57">
        <f>SUM(I12:I22)</f>
        <v>28809891.444718041</v>
      </c>
      <c r="J23" s="57">
        <f>SUM(J12:J22)</f>
        <v>2160741.8583538523</v>
      </c>
      <c r="K23" s="57">
        <f>SUM(K12:K22)</f>
        <v>30970633.303071886</v>
      </c>
    </row>
    <row r="24" spans="1:11" x14ac:dyDescent="0.3">
      <c r="F24" s="40"/>
    </row>
    <row r="25" spans="1:11" x14ac:dyDescent="0.3">
      <c r="E25" s="55"/>
      <c r="F25" s="40"/>
    </row>
    <row r="27" spans="1:11" x14ac:dyDescent="0.3">
      <c r="A27" s="56" t="s">
        <v>13</v>
      </c>
      <c r="G27" s="56"/>
    </row>
    <row r="28" spans="1:11" x14ac:dyDescent="0.3">
      <c r="A28" s="115" t="s">
        <v>280</v>
      </c>
      <c r="G28" s="115"/>
    </row>
    <row r="29" spans="1:11" x14ac:dyDescent="0.3">
      <c r="A29" s="115" t="s">
        <v>281</v>
      </c>
      <c r="G29" s="115"/>
    </row>
    <row r="30" spans="1:11" x14ac:dyDescent="0.3">
      <c r="A30" s="115" t="s">
        <v>282</v>
      </c>
      <c r="G30" s="115"/>
    </row>
    <row r="31" spans="1:11" x14ac:dyDescent="0.3">
      <c r="A31" s="115" t="s">
        <v>120</v>
      </c>
      <c r="G31" s="115"/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75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6541-5006-490A-BE7C-27A3CF011EC8}">
  <dimension ref="A1:M67"/>
  <sheetViews>
    <sheetView view="pageBreakPreview" zoomScale="80" zoomScaleNormal="80" zoomScaleSheetLayoutView="80" workbookViewId="0">
      <selection activeCell="D14" sqref="D14:D23"/>
    </sheetView>
  </sheetViews>
  <sheetFormatPr defaultRowHeight="14.4" x14ac:dyDescent="0.3"/>
  <cols>
    <col min="1" max="1" width="10.77734375" customWidth="1"/>
    <col min="2" max="3" width="15.77734375" bestFit="1" customWidth="1"/>
    <col min="4" max="4" width="15.77734375" customWidth="1"/>
    <col min="5" max="6" width="15.77734375" bestFit="1" customWidth="1"/>
    <col min="7" max="10" width="15.77734375" customWidth="1"/>
    <col min="11" max="11" width="15" bestFit="1" customWidth="1"/>
    <col min="12" max="12" width="15.77734375" bestFit="1" customWidth="1"/>
    <col min="13" max="13" width="13.77734375" bestFit="1" customWidth="1"/>
  </cols>
  <sheetData>
    <row r="1" spans="1:13" x14ac:dyDescent="0.3">
      <c r="A1" s="2" t="s">
        <v>233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2" t="str">
        <f>CompanyName</f>
        <v>Company ABC</v>
      </c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</row>
    <row r="4" spans="1:13" x14ac:dyDescent="0.3">
      <c r="A4" s="1" t="s">
        <v>230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1" t="str">
        <f>"As at "&amp;TEXT(ValDate,"mmmm dd, yyyy")</f>
        <v>As at December 31, 2022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7" spans="1:13" x14ac:dyDescent="0.3">
      <c r="M7" s="9"/>
    </row>
    <row r="8" spans="1:13" x14ac:dyDescent="0.3">
      <c r="A8" s="124">
        <v>-1</v>
      </c>
      <c r="B8" s="124">
        <f t="shared" ref="B8:E8" si="0">A8-1</f>
        <v>-2</v>
      </c>
      <c r="C8" s="124">
        <f t="shared" si="0"/>
        <v>-3</v>
      </c>
      <c r="D8" s="124">
        <f>C8-1</f>
        <v>-4</v>
      </c>
      <c r="E8" s="124">
        <f t="shared" si="0"/>
        <v>-5</v>
      </c>
      <c r="F8" s="124">
        <f>E8-1</f>
        <v>-6</v>
      </c>
      <c r="G8" s="124">
        <f t="shared" ref="G8:H8" si="1">F8-1</f>
        <v>-7</v>
      </c>
      <c r="H8" s="124">
        <f t="shared" si="1"/>
        <v>-8</v>
      </c>
      <c r="I8" s="9"/>
      <c r="J8" s="9"/>
      <c r="K8" s="9"/>
    </row>
    <row r="9" spans="1:13" x14ac:dyDescent="0.3">
      <c r="B9" s="35" t="s">
        <v>247</v>
      </c>
      <c r="C9" s="35"/>
      <c r="D9" s="35" t="s">
        <v>236</v>
      </c>
      <c r="E9" s="35"/>
      <c r="F9" s="35"/>
      <c r="G9" s="35"/>
      <c r="H9" s="35"/>
      <c r="I9" s="16"/>
      <c r="J9" s="16"/>
      <c r="K9" s="16"/>
    </row>
    <row r="10" spans="1:13" x14ac:dyDescent="0.3">
      <c r="A10" s="127" t="s">
        <v>76</v>
      </c>
      <c r="B10" s="142"/>
      <c r="C10" s="83"/>
      <c r="D10" s="16" t="s">
        <v>234</v>
      </c>
      <c r="E10" s="16" t="s">
        <v>234</v>
      </c>
      <c r="F10" s="16" t="s">
        <v>234</v>
      </c>
      <c r="G10" s="16" t="s">
        <v>235</v>
      </c>
      <c r="H10" s="83" t="s">
        <v>235</v>
      </c>
      <c r="I10" s="16"/>
      <c r="J10" s="16"/>
      <c r="K10" s="16"/>
    </row>
    <row r="11" spans="1:13" x14ac:dyDescent="0.3">
      <c r="A11" s="125" t="s">
        <v>71</v>
      </c>
      <c r="B11" s="145" t="s">
        <v>234</v>
      </c>
      <c r="C11" s="26" t="s">
        <v>235</v>
      </c>
      <c r="D11" s="16" t="s">
        <v>75</v>
      </c>
      <c r="E11" s="16" t="s">
        <v>75</v>
      </c>
      <c r="F11" s="16" t="s">
        <v>261</v>
      </c>
      <c r="G11" s="16" t="s">
        <v>75</v>
      </c>
      <c r="H11" s="26" t="s">
        <v>75</v>
      </c>
      <c r="I11" s="16"/>
      <c r="J11" s="16"/>
      <c r="K11" s="16"/>
    </row>
    <row r="12" spans="1:13" x14ac:dyDescent="0.3">
      <c r="A12" s="126" t="s">
        <v>72</v>
      </c>
      <c r="B12" s="140" t="s">
        <v>72</v>
      </c>
      <c r="C12" s="27" t="s">
        <v>72</v>
      </c>
      <c r="D12" s="7" t="s">
        <v>237</v>
      </c>
      <c r="E12" s="7" t="s">
        <v>238</v>
      </c>
      <c r="F12" s="7" t="s">
        <v>262</v>
      </c>
      <c r="G12" s="7" t="s">
        <v>237</v>
      </c>
      <c r="H12" s="27" t="s">
        <v>238</v>
      </c>
      <c r="I12" s="16"/>
      <c r="J12" s="16"/>
      <c r="K12" s="16"/>
    </row>
    <row r="13" spans="1:13" x14ac:dyDescent="0.3">
      <c r="A13" s="125"/>
      <c r="B13" s="142"/>
      <c r="C13" s="146"/>
      <c r="D13" s="131"/>
      <c r="E13" s="52">
        <f t="shared" ref="E13:E23" si="2">(1+D13)^-$A13</f>
        <v>1</v>
      </c>
      <c r="F13" s="16"/>
      <c r="G13" s="131"/>
      <c r="H13" s="129">
        <f t="shared" ref="H13:H23" si="3">(1+G13)^-$A13</f>
        <v>1</v>
      </c>
      <c r="I13" s="36"/>
      <c r="J13" s="36"/>
      <c r="K13" s="36"/>
    </row>
    <row r="14" spans="1:13" x14ac:dyDescent="0.3">
      <c r="A14" s="125">
        <v>0.5</v>
      </c>
      <c r="B14" s="23">
        <f t="array" ref="B14:B23">TRANSPOSE('3-Current'!Q24:Z24)</f>
        <v>9091644.5047224388</v>
      </c>
      <c r="C14" s="14">
        <f t="array" ref="C14:C23">TRANSPOSE('3-Current'!C24:L24)</f>
        <v>8468112.9863636345</v>
      </c>
      <c r="D14" s="85">
        <v>2.4392299999999999E-2</v>
      </c>
      <c r="E14" s="52">
        <f t="shared" si="2"/>
        <v>0.98802252850867101</v>
      </c>
      <c r="F14" s="33">
        <f>(1+D14)^A14-1</f>
        <v>1.2122670430812832E-2</v>
      </c>
      <c r="G14" s="85">
        <f>'2-Current Curve'!AJ13</f>
        <v>2.3892299999999998E-2</v>
      </c>
      <c r="H14" s="129">
        <f t="shared" si="3"/>
        <v>0.98826374087471902</v>
      </c>
      <c r="I14" s="36"/>
      <c r="J14" s="36"/>
      <c r="K14" s="36"/>
    </row>
    <row r="15" spans="1:13" x14ac:dyDescent="0.3">
      <c r="A15" s="125">
        <f>+A14+1</f>
        <v>1.5</v>
      </c>
      <c r="B15" s="23">
        <v>6662388.8669343246</v>
      </c>
      <c r="C15" s="14">
        <v>6158357.7075757561</v>
      </c>
      <c r="D15" s="85">
        <v>2.5412000000000001E-2</v>
      </c>
      <c r="E15" s="52">
        <f t="shared" si="2"/>
        <v>0.96305791907541549</v>
      </c>
      <c r="F15" s="33">
        <f>(1+D15)^A15/(1+D14)^A14-1</f>
        <v>2.5922230572822391E-2</v>
      </c>
      <c r="G15" s="85">
        <f>'2-Current Curve'!AJ14</f>
        <v>2.4912E-2</v>
      </c>
      <c r="H15" s="129">
        <f t="shared" si="3"/>
        <v>0.96376274204975276</v>
      </c>
      <c r="I15" s="36"/>
      <c r="J15" s="36"/>
      <c r="K15" s="36"/>
    </row>
    <row r="16" spans="1:13" x14ac:dyDescent="0.3">
      <c r="A16" s="125">
        <f t="shared" ref="A16:A23" si="4">+A15+1</f>
        <v>2.5</v>
      </c>
      <c r="B16" s="23">
        <v>5124529.8212171569</v>
      </c>
      <c r="C16" s="14">
        <v>4708358.2848484833</v>
      </c>
      <c r="D16" s="85">
        <v>2.6591500000000001E-2</v>
      </c>
      <c r="E16" s="52">
        <f t="shared" si="2"/>
        <v>0.93649581265525506</v>
      </c>
      <c r="F16" s="33">
        <f t="shared" ref="F16:F23" si="5">(1+D16)^A16/(1+D15)^A15-1</f>
        <v>2.8363294380194581E-2</v>
      </c>
      <c r="G16" s="85">
        <f>'2-Current Curve'!AJ15</f>
        <v>2.60915E-2</v>
      </c>
      <c r="H16" s="129">
        <f t="shared" si="3"/>
        <v>0.93763708282512825</v>
      </c>
      <c r="I16" s="36"/>
      <c r="J16" s="36"/>
      <c r="K16" s="36"/>
    </row>
    <row r="17" spans="1:13" x14ac:dyDescent="0.3">
      <c r="A17" s="125">
        <f t="shared" si="4"/>
        <v>3.5</v>
      </c>
      <c r="B17" s="23">
        <v>3558876.2401928152</v>
      </c>
      <c r="C17" s="14">
        <v>3267771.5848484845</v>
      </c>
      <c r="D17" s="85">
        <v>2.8219599999999997E-2</v>
      </c>
      <c r="E17" s="52">
        <f t="shared" si="2"/>
        <v>0.90719244838057267</v>
      </c>
      <c r="F17" s="33">
        <f t="shared" si="5"/>
        <v>3.2301155424068639E-2</v>
      </c>
      <c r="G17" s="85">
        <f>'2-Current Curve'!AJ16</f>
        <v>2.7719599999999997E-2</v>
      </c>
      <c r="H17" s="129">
        <f t="shared" si="3"/>
        <v>0.90873815452316931</v>
      </c>
      <c r="I17" s="36"/>
      <c r="J17" s="36"/>
      <c r="K17" s="36"/>
    </row>
    <row r="18" spans="1:13" x14ac:dyDescent="0.3">
      <c r="A18" s="125">
        <f t="shared" si="4"/>
        <v>4.5</v>
      </c>
      <c r="B18" s="23">
        <v>2905820.7666940172</v>
      </c>
      <c r="C18" s="14">
        <v>2652400.2287878785</v>
      </c>
      <c r="D18" s="85">
        <v>2.8838700000000002E-2</v>
      </c>
      <c r="E18" s="52">
        <f t="shared" si="2"/>
        <v>0.87990783763458957</v>
      </c>
      <c r="F18" s="33">
        <f t="shared" si="5"/>
        <v>3.1008487001696672E-2</v>
      </c>
      <c r="G18" s="85">
        <f>'2-Current Curve'!AJ17</f>
        <v>2.8338700000000001E-2</v>
      </c>
      <c r="H18" s="129">
        <f t="shared" si="3"/>
        <v>0.88183471046075401</v>
      </c>
      <c r="I18" s="36"/>
      <c r="J18" s="36"/>
      <c r="K18" s="36"/>
    </row>
    <row r="19" spans="1:13" x14ac:dyDescent="0.3">
      <c r="A19" s="125">
        <f t="shared" si="4"/>
        <v>5.5</v>
      </c>
      <c r="B19" s="23">
        <v>1550512.9035800726</v>
      </c>
      <c r="C19" s="14">
        <v>1421409.2787878788</v>
      </c>
      <c r="D19" s="85">
        <v>2.9462799999999997E-2</v>
      </c>
      <c r="E19" s="52">
        <f t="shared" si="2"/>
        <v>0.85239595829365722</v>
      </c>
      <c r="F19" s="33">
        <f t="shared" si="5"/>
        <v>3.2275938281084882E-2</v>
      </c>
      <c r="G19" s="85">
        <f>'2-Current Curve'!AJ18</f>
        <v>2.8962799999999997E-2</v>
      </c>
      <c r="H19" s="129">
        <f t="shared" si="3"/>
        <v>0.85467655892443017</v>
      </c>
      <c r="I19" s="36"/>
      <c r="J19" s="36"/>
      <c r="K19" s="36"/>
    </row>
    <row r="20" spans="1:13" x14ac:dyDescent="0.3">
      <c r="A20" s="125">
        <f t="shared" si="4"/>
        <v>6.5</v>
      </c>
      <c r="B20" s="23">
        <v>1127860.0692460211</v>
      </c>
      <c r="C20" s="14">
        <v>1005588.0893939394</v>
      </c>
      <c r="D20" s="85">
        <v>3.0102400000000001E-2</v>
      </c>
      <c r="E20" s="52">
        <f t="shared" si="2"/>
        <v>0.82466470285388283</v>
      </c>
      <c r="F20" s="33">
        <f t="shared" si="5"/>
        <v>3.362730979488493E-2</v>
      </c>
      <c r="G20" s="85">
        <f>'2-Current Curve'!AJ19</f>
        <v>2.9602400000000001E-2</v>
      </c>
      <c r="H20" s="129">
        <f t="shared" si="3"/>
        <v>0.82727128395566785</v>
      </c>
      <c r="I20" s="36"/>
      <c r="J20" s="36"/>
      <c r="K20" s="36"/>
    </row>
    <row r="21" spans="1:13" x14ac:dyDescent="0.3">
      <c r="A21" s="125">
        <f t="shared" si="4"/>
        <v>7.5</v>
      </c>
      <c r="B21" s="23">
        <v>477469.86639441806</v>
      </c>
      <c r="C21" s="14">
        <v>434077.80606060603</v>
      </c>
      <c r="D21" s="85">
        <v>3.0765299999999999E-2</v>
      </c>
      <c r="E21" s="52">
        <f t="shared" si="2"/>
        <v>0.79671239848659492</v>
      </c>
      <c r="F21" s="33">
        <f t="shared" si="5"/>
        <v>3.5084560526966957E-2</v>
      </c>
      <c r="G21" s="85">
        <f>'2-Current Curve'!AJ20</f>
        <v>3.0265299999999998E-2</v>
      </c>
      <c r="H21" s="129">
        <f t="shared" si="3"/>
        <v>0.79961688147267151</v>
      </c>
      <c r="I21" s="36"/>
      <c r="J21" s="36"/>
      <c r="K21" s="36"/>
    </row>
    <row r="22" spans="1:13" x14ac:dyDescent="0.3">
      <c r="A22" s="125">
        <f t="shared" si="4"/>
        <v>8.5</v>
      </c>
      <c r="B22" s="23">
        <v>252647.94065041101</v>
      </c>
      <c r="C22" s="14">
        <v>221740.03333333333</v>
      </c>
      <c r="D22" s="85">
        <v>3.1455999999999998E-2</v>
      </c>
      <c r="E22" s="52">
        <f t="shared" si="2"/>
        <v>0.76854445709551256</v>
      </c>
      <c r="F22" s="33">
        <f t="shared" si="5"/>
        <v>3.6651024063766968E-2</v>
      </c>
      <c r="G22" s="85">
        <f>'2-Current Curve'!AJ21</f>
        <v>3.0956000000000001E-2</v>
      </c>
      <c r="H22" s="129">
        <f t="shared" si="3"/>
        <v>0.77171846319786686</v>
      </c>
      <c r="I22" s="36"/>
      <c r="J22" s="36"/>
      <c r="K22" s="36"/>
    </row>
    <row r="23" spans="1:13" x14ac:dyDescent="0.3">
      <c r="A23" s="126">
        <f t="shared" si="4"/>
        <v>9.5</v>
      </c>
      <c r="B23" s="24">
        <v>0</v>
      </c>
      <c r="C23" s="15">
        <v>0</v>
      </c>
      <c r="D23" s="102">
        <v>3.2175099999999998E-2</v>
      </c>
      <c r="E23" s="144">
        <f t="shared" si="2"/>
        <v>0.74018948075131163</v>
      </c>
      <c r="F23" s="33">
        <f t="shared" si="5"/>
        <v>3.8307726712651924E-2</v>
      </c>
      <c r="G23" s="102">
        <f>'2-Current Curve'!AJ22</f>
        <v>3.1675099999999998E-2</v>
      </c>
      <c r="H23" s="130">
        <f t="shared" si="3"/>
        <v>0.7436044616058467</v>
      </c>
      <c r="I23" s="36"/>
      <c r="J23" s="36"/>
      <c r="K23" s="36"/>
    </row>
    <row r="24" spans="1:13" x14ac:dyDescent="0.3">
      <c r="A24" s="8"/>
      <c r="B24" s="11">
        <f>SUM(B14:B23)</f>
        <v>30751750.979631677</v>
      </c>
      <c r="C24" s="11">
        <f>SUM(C14:C23)</f>
        <v>28337815.999999996</v>
      </c>
      <c r="D24" s="39"/>
      <c r="E24" s="8"/>
      <c r="F24" s="8"/>
      <c r="G24" s="39"/>
      <c r="H24" s="39"/>
      <c r="I24" s="36"/>
      <c r="J24" s="36"/>
      <c r="K24" s="36"/>
    </row>
    <row r="26" spans="1:13" x14ac:dyDescent="0.3">
      <c r="I26" s="9"/>
      <c r="J26" s="9"/>
      <c r="K26" s="9"/>
      <c r="L26" s="9"/>
    </row>
    <row r="27" spans="1:13" x14ac:dyDescent="0.3">
      <c r="I27" s="9"/>
      <c r="J27" s="9"/>
    </row>
    <row r="28" spans="1:13" x14ac:dyDescent="0.3">
      <c r="A28" s="124">
        <f>H8-1</f>
        <v>-9</v>
      </c>
      <c r="B28" s="124">
        <f>A28-1</f>
        <v>-10</v>
      </c>
      <c r="C28" s="124">
        <f>B28-1</f>
        <v>-11</v>
      </c>
      <c r="D28" s="124">
        <f>C28-1</f>
        <v>-12</v>
      </c>
      <c r="E28" s="124">
        <f t="shared" ref="E28:I28" si="6">D28-1</f>
        <v>-13</v>
      </c>
      <c r="F28" s="124">
        <f t="shared" si="6"/>
        <v>-14</v>
      </c>
      <c r="G28" s="124">
        <f t="shared" si="6"/>
        <v>-15</v>
      </c>
      <c r="H28" s="124">
        <f t="shared" si="6"/>
        <v>-16</v>
      </c>
      <c r="I28" s="124">
        <f t="shared" si="6"/>
        <v>-17</v>
      </c>
      <c r="J28" s="124">
        <f t="shared" ref="J28" si="7">I28-1</f>
        <v>-18</v>
      </c>
      <c r="K28" s="124">
        <f t="shared" ref="K28" si="8">J28-1</f>
        <v>-19</v>
      </c>
      <c r="L28" s="124">
        <f t="shared" ref="L28" si="9">K28-1</f>
        <v>-20</v>
      </c>
      <c r="M28" s="124">
        <f t="shared" ref="M28" si="10">L28-1</f>
        <v>-21</v>
      </c>
    </row>
    <row r="29" spans="1:13" x14ac:dyDescent="0.3">
      <c r="A29" s="124"/>
      <c r="B29" s="136" t="s">
        <v>248</v>
      </c>
      <c r="C29" s="136"/>
      <c r="D29" s="136"/>
      <c r="E29" s="136"/>
      <c r="F29" s="136" t="s">
        <v>230</v>
      </c>
      <c r="G29" s="136"/>
      <c r="H29" s="136"/>
      <c r="I29" s="136"/>
      <c r="J29" s="136"/>
      <c r="K29" s="136"/>
      <c r="L29" s="136" t="s">
        <v>245</v>
      </c>
      <c r="M29" s="136"/>
    </row>
    <row r="30" spans="1:13" x14ac:dyDescent="0.3">
      <c r="A30" s="133"/>
      <c r="B30" s="131" t="s">
        <v>223</v>
      </c>
      <c r="C30" s="131" t="s">
        <v>223</v>
      </c>
      <c r="D30" s="131" t="s">
        <v>223</v>
      </c>
      <c r="E30" s="131" t="s">
        <v>222</v>
      </c>
      <c r="F30" s="142" t="s">
        <v>255</v>
      </c>
      <c r="G30" s="131" t="s">
        <v>255</v>
      </c>
      <c r="H30" s="131"/>
      <c r="I30" s="131" t="s">
        <v>229</v>
      </c>
      <c r="J30" s="131"/>
      <c r="K30" s="132"/>
      <c r="L30" s="50" t="s">
        <v>30</v>
      </c>
      <c r="M30" s="132" t="s">
        <v>30</v>
      </c>
    </row>
    <row r="31" spans="1:13" x14ac:dyDescent="0.3">
      <c r="A31" s="134" t="s">
        <v>18</v>
      </c>
      <c r="B31" s="16" t="s">
        <v>224</v>
      </c>
      <c r="C31" s="16" t="s">
        <v>224</v>
      </c>
      <c r="D31" s="16" t="s">
        <v>224</v>
      </c>
      <c r="E31" s="16" t="s">
        <v>224</v>
      </c>
      <c r="F31" s="138" t="s">
        <v>256</v>
      </c>
      <c r="G31" s="28" t="s">
        <v>256</v>
      </c>
      <c r="H31" s="16" t="s">
        <v>229</v>
      </c>
      <c r="I31" s="28" t="s">
        <v>66</v>
      </c>
      <c r="J31" s="28"/>
      <c r="K31" s="45" t="s">
        <v>229</v>
      </c>
      <c r="L31" s="28" t="s">
        <v>241</v>
      </c>
      <c r="M31" s="45" t="s">
        <v>241</v>
      </c>
    </row>
    <row r="32" spans="1:13" x14ac:dyDescent="0.3">
      <c r="A32" s="134" t="s">
        <v>70</v>
      </c>
      <c r="B32" s="16" t="s">
        <v>225</v>
      </c>
      <c r="C32" s="16" t="s">
        <v>225</v>
      </c>
      <c r="D32" s="16" t="s">
        <v>228</v>
      </c>
      <c r="E32" s="16" t="s">
        <v>228</v>
      </c>
      <c r="F32" s="138" t="s">
        <v>257</v>
      </c>
      <c r="G32" s="28" t="s">
        <v>258</v>
      </c>
      <c r="H32" s="28" t="s">
        <v>260</v>
      </c>
      <c r="I32" s="28" t="s">
        <v>252</v>
      </c>
      <c r="J32" s="28"/>
      <c r="K32" s="45" t="s">
        <v>68</v>
      </c>
      <c r="L32" s="28" t="s">
        <v>242</v>
      </c>
      <c r="M32" s="45" t="s">
        <v>244</v>
      </c>
    </row>
    <row r="33" spans="1:13" x14ac:dyDescent="0.3">
      <c r="A33" s="135" t="s">
        <v>10</v>
      </c>
      <c r="B33" s="7" t="s">
        <v>226</v>
      </c>
      <c r="C33" s="7" t="s">
        <v>227</v>
      </c>
      <c r="D33" s="7" t="s">
        <v>227</v>
      </c>
      <c r="E33" s="7" t="s">
        <v>227</v>
      </c>
      <c r="F33" s="140" t="s">
        <v>259</v>
      </c>
      <c r="G33" s="7" t="s">
        <v>259</v>
      </c>
      <c r="H33" s="7" t="s">
        <v>74</v>
      </c>
      <c r="I33" s="7" t="s">
        <v>74</v>
      </c>
      <c r="J33" s="7" t="s">
        <v>83</v>
      </c>
      <c r="K33" s="27" t="s">
        <v>43</v>
      </c>
      <c r="L33" s="7" t="s">
        <v>243</v>
      </c>
      <c r="M33" s="27" t="s">
        <v>243</v>
      </c>
    </row>
    <row r="34" spans="1:13" x14ac:dyDescent="0.3">
      <c r="A34" s="134">
        <v>2022</v>
      </c>
      <c r="B34" s="10">
        <f t="shared" ref="B34:B43" si="11">B14*E14</f>
        <v>8982749.5918578282</v>
      </c>
      <c r="C34" s="10">
        <f>B14*E13</f>
        <v>9091644.5047224388</v>
      </c>
      <c r="D34" s="10">
        <f t="shared" ref="D34:D43" si="12">B14*H13</f>
        <v>9091644.5047224388</v>
      </c>
      <c r="E34" s="169" t="s">
        <v>295</v>
      </c>
      <c r="F34" s="23">
        <f t="shared" ref="F34:F43" si="13">C34-B34</f>
        <v>108894.91286461055</v>
      </c>
      <c r="G34" s="36">
        <f>B34*F14</f>
        <v>108894.91286461093</v>
      </c>
      <c r="H34" s="36">
        <f>D34-C34</f>
        <v>0</v>
      </c>
      <c r="I34" s="36">
        <f>IF(E34="n/a",0,E34)-D34</f>
        <v>-9091644.5047224388</v>
      </c>
      <c r="J34" s="168">
        <v>9223531</v>
      </c>
      <c r="K34" s="128">
        <f>-0.075*B34</f>
        <v>-673706.21938933711</v>
      </c>
      <c r="L34" s="137">
        <f>I34+J34+K34</f>
        <v>-541819.72411177587</v>
      </c>
      <c r="M34" s="128">
        <f>G34+H34</f>
        <v>108894.91286461093</v>
      </c>
    </row>
    <row r="35" spans="1:13" x14ac:dyDescent="0.3">
      <c r="A35" s="134">
        <f>+A34+1</f>
        <v>2023</v>
      </c>
      <c r="B35" s="10">
        <f t="shared" si="11"/>
        <v>6416266.3582609855</v>
      </c>
      <c r="C35" s="10">
        <f t="shared" ref="C35:C43" si="14">B15*E14</f>
        <v>6582590.2942164708</v>
      </c>
      <c r="D35" s="10">
        <f t="shared" si="12"/>
        <v>6584197.3447985966</v>
      </c>
      <c r="E35" s="36">
        <f t="shared" ref="E35:E43" si="15">C14*H14</f>
        <v>8368729.018053514</v>
      </c>
      <c r="F35" s="23">
        <f t="shared" si="13"/>
        <v>166323.93595548533</v>
      </c>
      <c r="G35" s="36">
        <f t="shared" ref="G35:G43" si="16">B35*F15</f>
        <v>166323.93595548469</v>
      </c>
      <c r="H35" s="36">
        <f t="shared" ref="H35:H43" si="17">D35-C35</f>
        <v>1607.050582125783</v>
      </c>
      <c r="I35" s="36">
        <f t="shared" ref="I35:I43" si="18">IF(E35="n/a",0,E35)-D35</f>
        <v>1784531.6732549174</v>
      </c>
      <c r="J35" s="36"/>
      <c r="K35" s="128">
        <f t="shared" ref="K35:K43" si="19">0.05*(E35)-0.075*B35</f>
        <v>-62783.525966898131</v>
      </c>
      <c r="L35" s="137">
        <f t="shared" ref="L35:L43" si="20">I35+J35+K35</f>
        <v>1721748.1472880193</v>
      </c>
      <c r="M35" s="128">
        <f t="shared" ref="M35:M43" si="21">G35+H35</f>
        <v>167930.98653761047</v>
      </c>
    </row>
    <row r="36" spans="1:13" x14ac:dyDescent="0.3">
      <c r="A36" s="134">
        <f t="shared" ref="A36:A43" si="22">+A35+1</f>
        <v>2024</v>
      </c>
      <c r="B36" s="10">
        <f t="shared" si="11"/>
        <v>4799100.7193968501</v>
      </c>
      <c r="C36" s="10">
        <f t="shared" si="14"/>
        <v>4935219.0258613061</v>
      </c>
      <c r="D36" s="10">
        <f t="shared" si="12"/>
        <v>4938830.912211976</v>
      </c>
      <c r="E36" s="36">
        <f t="shared" si="15"/>
        <v>5935195.7107764399</v>
      </c>
      <c r="F36" s="23">
        <f t="shared" si="13"/>
        <v>136118.30646445602</v>
      </c>
      <c r="G36" s="36">
        <f t="shared" si="16"/>
        <v>136118.30646445646</v>
      </c>
      <c r="H36" s="36">
        <f t="shared" si="17"/>
        <v>3611.8863506698981</v>
      </c>
      <c r="I36" s="36">
        <f t="shared" si="18"/>
        <v>996364.79856446385</v>
      </c>
      <c r="J36" s="36"/>
      <c r="K36" s="128">
        <f t="shared" si="19"/>
        <v>-63172.76841594174</v>
      </c>
      <c r="L36" s="137">
        <f t="shared" si="20"/>
        <v>933192.03014852211</v>
      </c>
      <c r="M36" s="128">
        <f t="shared" si="21"/>
        <v>139730.19281512636</v>
      </c>
    </row>
    <row r="37" spans="1:13" x14ac:dyDescent="0.3">
      <c r="A37" s="134">
        <f t="shared" si="22"/>
        <v>2025</v>
      </c>
      <c r="B37" s="10">
        <f t="shared" si="11"/>
        <v>3228585.6498239669</v>
      </c>
      <c r="C37" s="10">
        <f t="shared" si="14"/>
        <v>3332872.6966988491</v>
      </c>
      <c r="D37" s="10">
        <f t="shared" si="12"/>
        <v>3336934.3359900517</v>
      </c>
      <c r="E37" s="36">
        <f t="shared" si="15"/>
        <v>4414731.3271008562</v>
      </c>
      <c r="F37" s="23">
        <f t="shared" si="13"/>
        <v>104287.04687488219</v>
      </c>
      <c r="G37" s="36">
        <f t="shared" si="16"/>
        <v>104287.04687488161</v>
      </c>
      <c r="H37" s="36">
        <f t="shared" si="17"/>
        <v>4061.6392912026495</v>
      </c>
      <c r="I37" s="36">
        <f t="shared" si="18"/>
        <v>1077796.9911108045</v>
      </c>
      <c r="J37" s="36"/>
      <c r="K37" s="128">
        <f t="shared" si="19"/>
        <v>-21407.357381754671</v>
      </c>
      <c r="L37" s="137">
        <f t="shared" si="20"/>
        <v>1056389.6337290499</v>
      </c>
      <c r="M37" s="128">
        <f t="shared" si="21"/>
        <v>108348.68616608426</v>
      </c>
    </row>
    <row r="38" spans="1:13" x14ac:dyDescent="0.3">
      <c r="A38" s="134">
        <f t="shared" si="22"/>
        <v>2026</v>
      </c>
      <c r="B38" s="10">
        <f t="shared" si="11"/>
        <v>2556854.4673754177</v>
      </c>
      <c r="C38" s="10">
        <f t="shared" si="14"/>
        <v>2636138.6558922585</v>
      </c>
      <c r="D38" s="10">
        <f t="shared" si="12"/>
        <v>2640630.2009006222</v>
      </c>
      <c r="E38" s="36">
        <f t="shared" si="15"/>
        <v>2969548.7194184638</v>
      </c>
      <c r="F38" s="23">
        <f t="shared" si="13"/>
        <v>79284.188516840804</v>
      </c>
      <c r="G38" s="36">
        <f t="shared" si="16"/>
        <v>79284.188516840703</v>
      </c>
      <c r="H38" s="36">
        <f t="shared" si="17"/>
        <v>4491.5450083636679</v>
      </c>
      <c r="I38" s="36">
        <f t="shared" si="18"/>
        <v>328918.51851784158</v>
      </c>
      <c r="J38" s="36"/>
      <c r="K38" s="128">
        <f t="shared" si="19"/>
        <v>-43286.64908223314</v>
      </c>
      <c r="L38" s="137">
        <f t="shared" si="20"/>
        <v>285631.86943560845</v>
      </c>
      <c r="M38" s="128">
        <f t="shared" si="21"/>
        <v>83775.73352520437</v>
      </c>
    </row>
    <row r="39" spans="1:13" x14ac:dyDescent="0.3">
      <c r="A39" s="134">
        <f t="shared" si="22"/>
        <v>2027</v>
      </c>
      <c r="B39" s="10">
        <f t="shared" si="11"/>
        <v>1321650.9322938169</v>
      </c>
      <c r="C39" s="10">
        <f t="shared" si="14"/>
        <v>1364308.4562136705</v>
      </c>
      <c r="D39" s="10">
        <f t="shared" si="12"/>
        <v>1367296.0973941963</v>
      </c>
      <c r="E39" s="36">
        <f t="shared" si="15"/>
        <v>2338978.5877791964</v>
      </c>
      <c r="F39" s="23">
        <f t="shared" si="13"/>
        <v>42657.523919853615</v>
      </c>
      <c r="G39" s="36">
        <f t="shared" si="16"/>
        <v>42657.523919853527</v>
      </c>
      <c r="H39" s="36">
        <f t="shared" si="17"/>
        <v>2987.6411805257667</v>
      </c>
      <c r="I39" s="36">
        <f t="shared" si="18"/>
        <v>971682.49038500013</v>
      </c>
      <c r="J39" s="36"/>
      <c r="K39" s="128">
        <f t="shared" si="19"/>
        <v>17825.109466923561</v>
      </c>
      <c r="L39" s="137">
        <f t="shared" si="20"/>
        <v>989507.59985192365</v>
      </c>
      <c r="M39" s="128">
        <f t="shared" si="21"/>
        <v>45645.165100379294</v>
      </c>
    </row>
    <row r="40" spans="1:13" x14ac:dyDescent="0.3">
      <c r="A40" s="134">
        <f t="shared" si="22"/>
        <v>2028</v>
      </c>
      <c r="B40" s="10">
        <f t="shared" si="11"/>
        <v>930106.38886552968</v>
      </c>
      <c r="C40" s="10">
        <f t="shared" si="14"/>
        <v>961383.36454611272</v>
      </c>
      <c r="D40" s="10">
        <f t="shared" si="12"/>
        <v>963955.56293145882</v>
      </c>
      <c r="E40" s="36">
        <f t="shared" si="15"/>
        <v>1214845.1912176802</v>
      </c>
      <c r="F40" s="23">
        <f t="shared" si="13"/>
        <v>31276.97568058304</v>
      </c>
      <c r="G40" s="36">
        <f t="shared" si="16"/>
        <v>31276.975680582877</v>
      </c>
      <c r="H40" s="36">
        <f t="shared" si="17"/>
        <v>2572.1983853460988</v>
      </c>
      <c r="I40" s="36">
        <f t="shared" si="18"/>
        <v>250889.62828622141</v>
      </c>
      <c r="J40" s="36"/>
      <c r="K40" s="128">
        <f t="shared" si="19"/>
        <v>-9015.7196040307099</v>
      </c>
      <c r="L40" s="137">
        <f t="shared" si="20"/>
        <v>241873.9086821907</v>
      </c>
      <c r="M40" s="128">
        <f t="shared" si="21"/>
        <v>33849.174065928979</v>
      </c>
    </row>
    <row r="41" spans="1:13" x14ac:dyDescent="0.3">
      <c r="A41" s="134">
        <f t="shared" si="22"/>
        <v>2029</v>
      </c>
      <c r="B41" s="10">
        <f t="shared" si="11"/>
        <v>380406.16246017086</v>
      </c>
      <c r="C41" s="10">
        <f t="shared" si="14"/>
        <v>393752.54549183592</v>
      </c>
      <c r="D41" s="10">
        <f t="shared" si="12"/>
        <v>394997.10942225141</v>
      </c>
      <c r="E41" s="36">
        <f t="shared" si="15"/>
        <v>831894.1498434511</v>
      </c>
      <c r="F41" s="23">
        <f t="shared" si="13"/>
        <v>13346.383031665056</v>
      </c>
      <c r="G41" s="36">
        <f t="shared" si="16"/>
        <v>13346.383031665089</v>
      </c>
      <c r="H41" s="36">
        <f t="shared" si="17"/>
        <v>1244.5639304154902</v>
      </c>
      <c r="I41" s="36">
        <f t="shared" si="18"/>
        <v>436897.04042119969</v>
      </c>
      <c r="J41" s="36"/>
      <c r="K41" s="128">
        <f t="shared" si="19"/>
        <v>13064.245307659745</v>
      </c>
      <c r="L41" s="137">
        <f t="shared" si="20"/>
        <v>449961.28572885942</v>
      </c>
      <c r="M41" s="128">
        <f t="shared" si="21"/>
        <v>14590.946962080579</v>
      </c>
    </row>
    <row r="42" spans="1:13" x14ac:dyDescent="0.3">
      <c r="A42" s="134">
        <f t="shared" si="22"/>
        <v>2030</v>
      </c>
      <c r="B42" s="10">
        <f t="shared" si="11"/>
        <v>194171.17438346939</v>
      </c>
      <c r="C42" s="10">
        <f t="shared" si="14"/>
        <v>201287.74676828785</v>
      </c>
      <c r="D42" s="10">
        <f t="shared" si="12"/>
        <v>202021.55841337424</v>
      </c>
      <c r="E42" s="36">
        <f t="shared" si="15"/>
        <v>347095.94159868092</v>
      </c>
      <c r="F42" s="23">
        <f t="shared" si="13"/>
        <v>7116.5723848184571</v>
      </c>
      <c r="G42" s="36">
        <f t="shared" si="16"/>
        <v>7116.5723848184289</v>
      </c>
      <c r="H42" s="36">
        <f t="shared" si="17"/>
        <v>733.81164508638903</v>
      </c>
      <c r="I42" s="36">
        <f t="shared" si="18"/>
        <v>145074.38318530668</v>
      </c>
      <c r="J42" s="36"/>
      <c r="K42" s="128">
        <f t="shared" si="19"/>
        <v>2791.9590011738437</v>
      </c>
      <c r="L42" s="137">
        <f t="shared" si="20"/>
        <v>147866.34218648053</v>
      </c>
      <c r="M42" s="128">
        <f t="shared" si="21"/>
        <v>7850.3840299048179</v>
      </c>
    </row>
    <row r="43" spans="1:13" x14ac:dyDescent="0.3">
      <c r="A43" s="135">
        <f t="shared" si="22"/>
        <v>2031</v>
      </c>
      <c r="B43" s="10">
        <f t="shared" si="11"/>
        <v>0</v>
      </c>
      <c r="C43" s="10">
        <f t="shared" si="14"/>
        <v>0</v>
      </c>
      <c r="D43" s="10">
        <f t="shared" si="12"/>
        <v>0</v>
      </c>
      <c r="E43" s="143">
        <f t="shared" si="15"/>
        <v>171120.87775344375</v>
      </c>
      <c r="F43" s="24">
        <f t="shared" si="13"/>
        <v>0</v>
      </c>
      <c r="G43" s="143">
        <f t="shared" si="16"/>
        <v>0</v>
      </c>
      <c r="H43" s="143">
        <f t="shared" si="17"/>
        <v>0</v>
      </c>
      <c r="I43" s="143">
        <f t="shared" si="18"/>
        <v>171120.87775344375</v>
      </c>
      <c r="J43" s="143"/>
      <c r="K43" s="139">
        <f t="shared" si="19"/>
        <v>8556.0438876721873</v>
      </c>
      <c r="L43" s="141">
        <f t="shared" si="20"/>
        <v>179676.92164111594</v>
      </c>
      <c r="M43" s="139">
        <f t="shared" si="21"/>
        <v>0</v>
      </c>
    </row>
    <row r="44" spans="1:13" x14ac:dyDescent="0.3">
      <c r="A44" s="8"/>
      <c r="B44" s="11">
        <f t="shared" ref="B44:M44" si="23">SUM(B34:B43)</f>
        <v>28809891.444718033</v>
      </c>
      <c r="C44" s="11">
        <f>SUM(C34:C43)</f>
        <v>29499197.29041123</v>
      </c>
      <c r="D44" s="11">
        <f>SUM(D34:D43)</f>
        <v>29520507.626784965</v>
      </c>
      <c r="E44" s="11">
        <f t="shared" si="23"/>
        <v>26592139.523541722</v>
      </c>
      <c r="F44" s="36">
        <f t="shared" si="23"/>
        <v>689305.84569319501</v>
      </c>
      <c r="G44" s="36">
        <f t="shared" ref="G44" si="24">SUM(G34:G43)</f>
        <v>689305.84569319442</v>
      </c>
      <c r="H44" s="36">
        <f t="shared" ref="H44" si="25">SUM(H34:H43)</f>
        <v>21310.336373735743</v>
      </c>
      <c r="I44" s="36">
        <f t="shared" si="23"/>
        <v>-2928368.1032432402</v>
      </c>
      <c r="J44" s="36"/>
      <c r="K44" s="137">
        <f t="shared" si="23"/>
        <v>-831134.88217676629</v>
      </c>
      <c r="L44" s="137">
        <f t="shared" si="23"/>
        <v>5464028.0145799946</v>
      </c>
      <c r="M44" s="137">
        <f t="shared" si="23"/>
        <v>710616.18206693011</v>
      </c>
    </row>
    <row r="45" spans="1:13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7" spans="1:13" x14ac:dyDescent="0.3">
      <c r="A47" s="56" t="s">
        <v>13</v>
      </c>
    </row>
    <row r="48" spans="1:13" x14ac:dyDescent="0.3">
      <c r="A48" s="122" t="s">
        <v>239</v>
      </c>
      <c r="F48" s="46" t="s">
        <v>265</v>
      </c>
      <c r="G48" s="46"/>
      <c r="H48" s="46"/>
    </row>
    <row r="49" spans="1:8" x14ac:dyDescent="0.3">
      <c r="A49" s="122" t="s">
        <v>249</v>
      </c>
      <c r="F49" s="46" t="s">
        <v>266</v>
      </c>
      <c r="G49" s="46"/>
      <c r="H49" s="46"/>
    </row>
    <row r="50" spans="1:8" x14ac:dyDescent="0.3">
      <c r="A50" s="122" t="s">
        <v>250</v>
      </c>
      <c r="F50" s="46" t="s">
        <v>267</v>
      </c>
      <c r="G50" s="46"/>
      <c r="H50" s="46"/>
    </row>
    <row r="51" spans="1:8" x14ac:dyDescent="0.3">
      <c r="A51" s="122" t="s">
        <v>251</v>
      </c>
      <c r="F51" s="46" t="s">
        <v>270</v>
      </c>
      <c r="G51" s="46"/>
      <c r="H51" s="46"/>
    </row>
    <row r="52" spans="1:8" x14ac:dyDescent="0.3">
      <c r="A52" s="122" t="s">
        <v>263</v>
      </c>
      <c r="F52" s="46" t="s">
        <v>268</v>
      </c>
      <c r="G52" s="46"/>
      <c r="H52" s="46"/>
    </row>
    <row r="53" spans="1:8" x14ac:dyDescent="0.3">
      <c r="A53" s="122" t="s">
        <v>283</v>
      </c>
      <c r="F53" s="46" t="s">
        <v>273</v>
      </c>
      <c r="G53" s="46"/>
      <c r="H53" s="46"/>
    </row>
    <row r="54" spans="1:8" x14ac:dyDescent="0.3">
      <c r="A54" s="122" t="s">
        <v>264</v>
      </c>
      <c r="F54" s="46" t="s">
        <v>271</v>
      </c>
      <c r="G54" s="46"/>
      <c r="H54" s="46"/>
    </row>
    <row r="55" spans="1:8" x14ac:dyDescent="0.3">
      <c r="A55" s="122"/>
      <c r="F55" s="46" t="s">
        <v>272</v>
      </c>
      <c r="G55" s="46"/>
      <c r="H55" s="46"/>
    </row>
    <row r="56" spans="1:8" x14ac:dyDescent="0.3">
      <c r="A56" s="122"/>
      <c r="F56" s="46" t="s">
        <v>269</v>
      </c>
    </row>
    <row r="57" spans="1:8" x14ac:dyDescent="0.3">
      <c r="A57" s="122"/>
      <c r="F57" s="46" t="s">
        <v>296</v>
      </c>
    </row>
    <row r="58" spans="1:8" x14ac:dyDescent="0.3">
      <c r="A58" s="122"/>
      <c r="F58" s="46" t="s">
        <v>297</v>
      </c>
    </row>
    <row r="59" spans="1:8" x14ac:dyDescent="0.3">
      <c r="A59" s="122"/>
      <c r="F59" s="46" t="s">
        <v>298</v>
      </c>
    </row>
    <row r="60" spans="1:8" x14ac:dyDescent="0.3">
      <c r="A60" s="122"/>
    </row>
    <row r="61" spans="1:8" x14ac:dyDescent="0.3">
      <c r="A61" s="122"/>
    </row>
    <row r="62" spans="1:8" x14ac:dyDescent="0.3">
      <c r="A62" s="122"/>
    </row>
    <row r="63" spans="1:8" x14ac:dyDescent="0.3">
      <c r="A63" s="122"/>
    </row>
    <row r="64" spans="1:8" x14ac:dyDescent="0.3">
      <c r="A64" s="122"/>
    </row>
    <row r="65" spans="1:1" x14ac:dyDescent="0.3">
      <c r="A65" s="122"/>
    </row>
    <row r="66" spans="1:1" x14ac:dyDescent="0.3">
      <c r="A66" s="122"/>
    </row>
    <row r="67" spans="1:1" x14ac:dyDescent="0.3">
      <c r="A67" s="122"/>
    </row>
  </sheetData>
  <sheetProtection sheet="1" objects="1" scenarios="1"/>
  <pageMargins left="0.7" right="0.7" top="0.75" bottom="0.75" header="0.3" footer="0.3"/>
  <pageSetup scale="41" orientation="portrait" r:id="rId1"/>
  <headerFooter>
    <oddFooter>&amp;L&amp;D - &amp;T&amp;R&amp;F
&amp;A</oddFooter>
  </headerFooter>
  <ignoredErrors>
    <ignoredError sqref="G14:G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2FC8-E2EF-4B99-B3E1-0C0F950D201E}">
  <dimension ref="A1:H65"/>
  <sheetViews>
    <sheetView view="pageBreakPreview" zoomScale="80" zoomScaleNormal="100" zoomScaleSheetLayoutView="80" workbookViewId="0">
      <selection activeCell="G21" sqref="G21"/>
    </sheetView>
  </sheetViews>
  <sheetFormatPr defaultColWidth="11.77734375" defaultRowHeight="14.4" x14ac:dyDescent="0.3"/>
  <cols>
    <col min="1" max="2" width="5" customWidth="1"/>
    <col min="3" max="3" width="50.44140625" bestFit="1" customWidth="1"/>
    <col min="4" max="4" width="20" bestFit="1" customWidth="1"/>
    <col min="5" max="5" width="14.77734375" customWidth="1"/>
    <col min="6" max="8" width="14.21875" customWidth="1"/>
  </cols>
  <sheetData>
    <row r="1" spans="1:8" x14ac:dyDescent="0.3">
      <c r="A1" s="2" t="s">
        <v>51</v>
      </c>
      <c r="B1" s="2"/>
      <c r="C1" s="2"/>
      <c r="D1" s="1"/>
      <c r="E1" s="1"/>
      <c r="G1" s="1"/>
      <c r="H1" s="1"/>
    </row>
    <row r="2" spans="1:8" x14ac:dyDescent="0.3">
      <c r="A2" s="1"/>
      <c r="B2" s="1"/>
      <c r="C2" s="1"/>
      <c r="D2" s="1"/>
      <c r="E2" s="1"/>
      <c r="G2" s="1"/>
      <c r="H2" s="1"/>
    </row>
    <row r="3" spans="1:8" x14ac:dyDescent="0.3">
      <c r="A3" s="2" t="str">
        <f>CompanyName</f>
        <v>Company ABC</v>
      </c>
      <c r="B3" s="2"/>
      <c r="C3" s="2"/>
      <c r="D3" s="1"/>
      <c r="E3" s="1"/>
      <c r="G3" s="1"/>
      <c r="H3" s="1"/>
    </row>
    <row r="4" spans="1:8" x14ac:dyDescent="0.3">
      <c r="A4" s="1" t="s">
        <v>125</v>
      </c>
      <c r="B4" s="1"/>
      <c r="C4" s="1"/>
      <c r="D4" s="1"/>
      <c r="E4" s="1"/>
      <c r="G4" s="1"/>
      <c r="H4" s="1"/>
    </row>
    <row r="5" spans="1:8" x14ac:dyDescent="0.3">
      <c r="A5" s="1" t="str">
        <f>"As at "&amp;TEXT(ValDate,"mmmm dd, yyyy")</f>
        <v>As at December 31, 2022</v>
      </c>
      <c r="B5" s="1"/>
      <c r="C5" s="1"/>
      <c r="D5" s="1"/>
      <c r="E5" s="1"/>
      <c r="G5" s="1"/>
      <c r="H5" s="1"/>
    </row>
    <row r="9" spans="1:8" x14ac:dyDescent="0.3">
      <c r="D9" s="13"/>
      <c r="E9" s="25"/>
    </row>
    <row r="10" spans="1:8" x14ac:dyDescent="0.3">
      <c r="A10" s="12"/>
      <c r="B10" s="12"/>
      <c r="C10" s="12"/>
      <c r="D10" s="12">
        <v>2022</v>
      </c>
      <c r="E10" s="62">
        <v>2021</v>
      </c>
    </row>
    <row r="11" spans="1:8" x14ac:dyDescent="0.3">
      <c r="E11" s="75"/>
    </row>
    <row r="12" spans="1:8" x14ac:dyDescent="0.3">
      <c r="A12" s="5" t="s">
        <v>77</v>
      </c>
      <c r="E12" s="75"/>
    </row>
    <row r="13" spans="1:8" x14ac:dyDescent="0.3">
      <c r="E13" s="75"/>
    </row>
    <row r="14" spans="1:8" x14ac:dyDescent="0.3">
      <c r="B14" t="s">
        <v>78</v>
      </c>
      <c r="E14" s="75"/>
    </row>
    <row r="15" spans="1:8" x14ac:dyDescent="0.3">
      <c r="E15" s="75"/>
    </row>
    <row r="16" spans="1:8" x14ac:dyDescent="0.3">
      <c r="A16" s="46" t="s">
        <v>14</v>
      </c>
      <c r="C16" t="s">
        <v>79</v>
      </c>
      <c r="D16" s="55">
        <f>'5-Summary'!B23</f>
        <v>28337816</v>
      </c>
      <c r="E16" s="61">
        <f>'5-Summary'!H23</f>
        <v>30751750.979631685</v>
      </c>
    </row>
    <row r="17" spans="1:5" x14ac:dyDescent="0.3">
      <c r="A17" s="46" t="s">
        <v>15</v>
      </c>
      <c r="C17" t="s">
        <v>80</v>
      </c>
      <c r="D17" s="55">
        <f>'5-Summary'!C23-'5-Summary'!B23</f>
        <v>-1745676.4764582738</v>
      </c>
      <c r="E17" s="61">
        <f>'5-Summary'!I23-'5-Summary'!H23</f>
        <v>-1941859.5349136442</v>
      </c>
    </row>
    <row r="18" spans="1:5" x14ac:dyDescent="0.3">
      <c r="A18" s="46" t="s">
        <v>16</v>
      </c>
      <c r="C18" t="s">
        <v>81</v>
      </c>
      <c r="D18" s="55">
        <f>'5-Summary'!D23</f>
        <v>1329606.9761770864</v>
      </c>
      <c r="E18" s="61">
        <f>'5-Summary'!J23</f>
        <v>2160741.8583538523</v>
      </c>
    </row>
    <row r="19" spans="1:5" x14ac:dyDescent="0.3">
      <c r="A19" s="46" t="s">
        <v>113</v>
      </c>
      <c r="C19" t="s">
        <v>30</v>
      </c>
      <c r="D19" s="57">
        <f>SUM(D16:D18)</f>
        <v>27921746.499718811</v>
      </c>
      <c r="E19" s="60">
        <f>SUM(E16:E18)</f>
        <v>30970633.303071894</v>
      </c>
    </row>
    <row r="20" spans="1:5" x14ac:dyDescent="0.3">
      <c r="D20" s="55"/>
      <c r="E20" s="61"/>
    </row>
    <row r="21" spans="1:5" x14ac:dyDescent="0.3">
      <c r="D21" s="55"/>
      <c r="E21" s="61"/>
    </row>
    <row r="22" spans="1:5" x14ac:dyDescent="0.3">
      <c r="D22" s="55"/>
      <c r="E22" s="61"/>
    </row>
    <row r="23" spans="1:5" s="56" customFormat="1" x14ac:dyDescent="0.3">
      <c r="A23" s="56" t="s">
        <v>131</v>
      </c>
      <c r="D23" s="58"/>
      <c r="E23" s="76"/>
    </row>
    <row r="24" spans="1:5" x14ac:dyDescent="0.3">
      <c r="D24" s="55"/>
      <c r="E24" s="61"/>
    </row>
    <row r="25" spans="1:5" x14ac:dyDescent="0.3">
      <c r="D25" s="55"/>
      <c r="E25" s="61"/>
    </row>
    <row r="26" spans="1:5" x14ac:dyDescent="0.3">
      <c r="B26" t="s">
        <v>82</v>
      </c>
      <c r="D26" s="55"/>
      <c r="E26" s="61"/>
    </row>
    <row r="27" spans="1:5" x14ac:dyDescent="0.3">
      <c r="D27" s="55"/>
      <c r="E27" s="61"/>
    </row>
    <row r="28" spans="1:5" x14ac:dyDescent="0.3">
      <c r="A28" s="46" t="s">
        <v>114</v>
      </c>
      <c r="C28" s="41" t="s">
        <v>240</v>
      </c>
      <c r="D28" s="55">
        <f>'6-Income Statement Calculations'!I44+'6-Income Statement Calculations'!J34</f>
        <v>6295162.8967567598</v>
      </c>
      <c r="E28" s="61"/>
    </row>
    <row r="29" spans="1:5" x14ac:dyDescent="0.3">
      <c r="A29" s="46" t="s">
        <v>115</v>
      </c>
      <c r="C29" t="s">
        <v>231</v>
      </c>
      <c r="D29" s="55">
        <f>D18-E18</f>
        <v>-831134.88217676594</v>
      </c>
      <c r="E29" s="61"/>
    </row>
    <row r="30" spans="1:5" x14ac:dyDescent="0.3">
      <c r="A30" s="46" t="s">
        <v>116</v>
      </c>
      <c r="C30" t="s">
        <v>30</v>
      </c>
      <c r="D30" s="57">
        <f>SUM(D28:D29)</f>
        <v>5464028.0145799937</v>
      </c>
      <c r="E30" s="61"/>
    </row>
    <row r="31" spans="1:5" x14ac:dyDescent="0.3">
      <c r="D31" s="55"/>
      <c r="E31" s="61"/>
    </row>
    <row r="32" spans="1:5" x14ac:dyDescent="0.3">
      <c r="B32" t="s">
        <v>73</v>
      </c>
      <c r="D32" s="55"/>
      <c r="E32" s="61"/>
    </row>
    <row r="33" spans="1:5" x14ac:dyDescent="0.3">
      <c r="A33" s="46" t="s">
        <v>117</v>
      </c>
      <c r="C33" t="s">
        <v>290</v>
      </c>
      <c r="D33" s="55">
        <f>'6-Income Statement Calculations'!G44</f>
        <v>689305.84569319442</v>
      </c>
      <c r="E33" s="61"/>
    </row>
    <row r="34" spans="1:5" x14ac:dyDescent="0.3">
      <c r="A34" s="46" t="s">
        <v>118</v>
      </c>
      <c r="C34" t="s">
        <v>291</v>
      </c>
      <c r="D34" s="55">
        <f>'6-Income Statement Calculations'!H44</f>
        <v>21310.336373735743</v>
      </c>
      <c r="E34" s="61"/>
    </row>
    <row r="35" spans="1:5" x14ac:dyDescent="0.3">
      <c r="A35" s="46" t="s">
        <v>122</v>
      </c>
      <c r="C35" t="s">
        <v>30</v>
      </c>
      <c r="D35" s="57">
        <f>SUM(D33:D34)</f>
        <v>710616.18206693023</v>
      </c>
      <c r="E35" s="61"/>
    </row>
    <row r="36" spans="1:5" x14ac:dyDescent="0.3">
      <c r="D36" s="59"/>
      <c r="E36" s="61"/>
    </row>
    <row r="37" spans="1:5" x14ac:dyDescent="0.3">
      <c r="D37" s="59"/>
      <c r="E37" s="61"/>
    </row>
    <row r="38" spans="1:5" x14ac:dyDescent="0.3">
      <c r="D38" s="59"/>
      <c r="E38" s="61"/>
    </row>
    <row r="39" spans="1:5" x14ac:dyDescent="0.3">
      <c r="B39" s="63"/>
      <c r="C39" s="64"/>
      <c r="D39" s="65"/>
      <c r="E39" s="66"/>
    </row>
    <row r="40" spans="1:5" x14ac:dyDescent="0.3">
      <c r="B40" s="74" t="s">
        <v>84</v>
      </c>
      <c r="C40" s="68"/>
      <c r="D40" s="69"/>
      <c r="E40" s="70"/>
    </row>
    <row r="41" spans="1:5" x14ac:dyDescent="0.3">
      <c r="B41" s="67"/>
      <c r="C41" s="68" t="s">
        <v>83</v>
      </c>
      <c r="D41" s="69">
        <f>'6-Income Statement Calculations'!J34</f>
        <v>9223531</v>
      </c>
      <c r="E41" s="70"/>
    </row>
    <row r="42" spans="1:5" x14ac:dyDescent="0.3">
      <c r="B42" s="67"/>
      <c r="C42" s="68" t="s">
        <v>85</v>
      </c>
      <c r="D42" s="69">
        <f>D19</f>
        <v>27921746.499718811</v>
      </c>
      <c r="E42" s="70"/>
    </row>
    <row r="43" spans="1:5" x14ac:dyDescent="0.3">
      <c r="B43" s="67"/>
      <c r="C43" s="68" t="s">
        <v>86</v>
      </c>
      <c r="D43" s="69">
        <f>E19</f>
        <v>30970633.303071894</v>
      </c>
      <c r="E43" s="70"/>
    </row>
    <row r="44" spans="1:5" x14ac:dyDescent="0.3">
      <c r="B44" s="67"/>
      <c r="C44" s="68" t="s">
        <v>30</v>
      </c>
      <c r="D44" s="65">
        <f>+D41+D42-D43</f>
        <v>6174644.1966469213</v>
      </c>
      <c r="E44" s="70"/>
    </row>
    <row r="45" spans="1:5" x14ac:dyDescent="0.3">
      <c r="B45" s="67"/>
      <c r="C45" s="68"/>
      <c r="D45" s="69"/>
      <c r="E45" s="70"/>
    </row>
    <row r="46" spans="1:5" x14ac:dyDescent="0.3">
      <c r="B46" s="67"/>
      <c r="C46" s="68" t="s">
        <v>87</v>
      </c>
      <c r="D46" s="69">
        <f>+D44-D30-D35</f>
        <v>-2.5611370801925659E-9</v>
      </c>
      <c r="E46" s="70"/>
    </row>
    <row r="47" spans="1:5" x14ac:dyDescent="0.3">
      <c r="B47" s="71"/>
      <c r="C47" s="72"/>
      <c r="D47" s="72"/>
      <c r="E47" s="73"/>
    </row>
    <row r="55" spans="1:1" x14ac:dyDescent="0.3">
      <c r="A55" s="5" t="s">
        <v>13</v>
      </c>
    </row>
    <row r="56" spans="1:1" x14ac:dyDescent="0.3">
      <c r="A56" s="46" t="s">
        <v>284</v>
      </c>
    </row>
    <row r="57" spans="1:1" x14ac:dyDescent="0.3">
      <c r="A57" s="46" t="s">
        <v>285</v>
      </c>
    </row>
    <row r="58" spans="1:1" x14ac:dyDescent="0.3">
      <c r="A58" s="46" t="s">
        <v>286</v>
      </c>
    </row>
    <row r="59" spans="1:1" x14ac:dyDescent="0.3">
      <c r="A59" s="46" t="s">
        <v>220</v>
      </c>
    </row>
    <row r="60" spans="1:1" x14ac:dyDescent="0.3">
      <c r="A60" s="46" t="s">
        <v>287</v>
      </c>
    </row>
    <row r="61" spans="1:1" x14ac:dyDescent="0.3">
      <c r="A61" t="s">
        <v>253</v>
      </c>
    </row>
    <row r="62" spans="1:1" x14ac:dyDescent="0.3">
      <c r="A62" s="46" t="s">
        <v>254</v>
      </c>
    </row>
    <row r="63" spans="1:1" x14ac:dyDescent="0.3">
      <c r="A63" s="123" t="s">
        <v>293</v>
      </c>
    </row>
    <row r="64" spans="1:1" x14ac:dyDescent="0.3">
      <c r="A64" s="123" t="s">
        <v>294</v>
      </c>
    </row>
    <row r="65" spans="1:1" x14ac:dyDescent="0.3">
      <c r="A65" s="123" t="s">
        <v>292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44" orientation="landscape" blackAndWhite="1" r:id="rId1"/>
  <rowBreaks count="1" manualBreakCount="1">
    <brk id="5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CC4C65-36C3-4F83-8C0D-EE4C9C8675F1}">
            <xm:f>'[Educational Note - Appendices - 2019-06-26 - including options.xlsx]6-Insurance Finance'!#REF!="Y"</xm:f>
            <x14:dxf>
              <font>
                <color theme="0"/>
              </font>
            </x14:dxf>
          </x14:cfRule>
          <xm:sqref>A61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Parameters</vt:lpstr>
      <vt:lpstr>1-Payment Pattern</vt:lpstr>
      <vt:lpstr>2-Current Curve</vt:lpstr>
      <vt:lpstr>3-Current</vt:lpstr>
      <vt:lpstr>5-Summary</vt:lpstr>
      <vt:lpstr>6-Income Statement Calculations</vt:lpstr>
      <vt:lpstr>7-Financial Statements</vt:lpstr>
      <vt:lpstr>CompanyName</vt:lpstr>
      <vt:lpstr>PaymentPattern</vt:lpstr>
      <vt:lpstr>'1-Payment Pattern'!Print_Area</vt:lpstr>
      <vt:lpstr>'2-Current Curve'!Print_Area</vt:lpstr>
      <vt:lpstr>'3-Current'!Print_Area</vt:lpstr>
      <vt:lpstr>'5-Summary'!Print_Area</vt:lpstr>
      <vt:lpstr>'6-Income Statement Calculations'!Print_Area</vt:lpstr>
      <vt:lpstr>'7-Financial Statements'!Print_Area</vt:lpstr>
      <vt:lpstr>ValDate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Chevalier 2019/02</dc:creator>
  <cp:lastModifiedBy>Nicole Langlois</cp:lastModifiedBy>
  <cp:lastPrinted>2019-06-25T20:56:42Z</cp:lastPrinted>
  <dcterms:created xsi:type="dcterms:W3CDTF">2019-02-19T11:23:26Z</dcterms:created>
  <dcterms:modified xsi:type="dcterms:W3CDTF">2020-11-26T15:42:42Z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