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#01 - CIA\Professional Practice\PC\Ed Notes\1-Completed projects\PAR CLIFR\For publication\"/>
    </mc:Choice>
  </mc:AlternateContent>
  <xr:revisionPtr revIDLastSave="0" documentId="13_ncr:1_{30F894F6-2EB0-4CF4-AFB7-61A0F6FEF352}" xr6:coauthVersionLast="47" xr6:coauthVersionMax="47" xr10:uidLastSave="{00000000-0000-0000-0000-000000000000}"/>
  <bookViews>
    <workbookView xWindow="28680" yWindow="-120" windowWidth="29040" windowHeight="15720" tabRatio="825" xr2:uid="{972FF567-7A8D-4B74-90C4-07DC1CB8EDD0}"/>
  </bookViews>
  <sheets>
    <sheet name="Exemple MHV" sheetId="18" r:id="rId1"/>
    <sheet name="Exemple MGE" sheetId="19" r:id="rId2"/>
  </sheets>
  <definedNames>
    <definedName name="_xlnm.Print_Area" localSheetId="1">'Exemple MGE'!$A$1:$J$75</definedName>
    <definedName name="_xlnm.Print_Area" localSheetId="0">'Exemple MHV'!$A$1:$J$78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" i="19" l="1"/>
  <c r="D49" i="19"/>
  <c r="I48" i="19"/>
  <c r="H48" i="19"/>
  <c r="G48" i="19"/>
  <c r="F48" i="19"/>
  <c r="E48" i="19"/>
  <c r="D44" i="19"/>
  <c r="E42" i="19" s="1"/>
  <c r="E66" i="19" s="1"/>
  <c r="I43" i="19"/>
  <c r="I58" i="19" s="1"/>
  <c r="H43" i="19"/>
  <c r="H58" i="19" s="1"/>
  <c r="G43" i="19"/>
  <c r="G58" i="19" s="1"/>
  <c r="F43" i="19"/>
  <c r="F58" i="19" s="1"/>
  <c r="E43" i="19"/>
  <c r="I37" i="19"/>
  <c r="H37" i="19"/>
  <c r="G37" i="19"/>
  <c r="F37" i="19"/>
  <c r="E37" i="19"/>
  <c r="I35" i="19"/>
  <c r="H35" i="19"/>
  <c r="G35" i="19"/>
  <c r="F35" i="19"/>
  <c r="E35" i="19"/>
  <c r="H28" i="19"/>
  <c r="G28" i="19"/>
  <c r="F28" i="19"/>
  <c r="E28" i="19"/>
  <c r="D28" i="19"/>
  <c r="H27" i="19"/>
  <c r="G27" i="19"/>
  <c r="F27" i="19"/>
  <c r="E27" i="19"/>
  <c r="D27" i="19"/>
  <c r="E15" i="19"/>
  <c r="D53" i="18"/>
  <c r="I52" i="18"/>
  <c r="H52" i="18"/>
  <c r="G52" i="18"/>
  <c r="F52" i="18"/>
  <c r="E52" i="18"/>
  <c r="D48" i="18"/>
  <c r="I47" i="18"/>
  <c r="I64" i="18" s="1"/>
  <c r="H47" i="18"/>
  <c r="H64" i="18" s="1"/>
  <c r="G47" i="18"/>
  <c r="G64" i="18" s="1"/>
  <c r="F47" i="18"/>
  <c r="F64" i="18" s="1"/>
  <c r="E47" i="18"/>
  <c r="E64" i="18" s="1"/>
  <c r="I36" i="18"/>
  <c r="H36" i="18"/>
  <c r="G36" i="18"/>
  <c r="F36" i="18"/>
  <c r="E36" i="18"/>
  <c r="I34" i="18"/>
  <c r="H34" i="18"/>
  <c r="G34" i="18"/>
  <c r="F34" i="18"/>
  <c r="E34" i="18"/>
  <c r="H27" i="18"/>
  <c r="G27" i="18"/>
  <c r="F27" i="18"/>
  <c r="E27" i="18"/>
  <c r="D27" i="18"/>
  <c r="H26" i="18"/>
  <c r="G26" i="18"/>
  <c r="F26" i="18"/>
  <c r="E26" i="18"/>
  <c r="D26" i="18"/>
  <c r="E14" i="18"/>
  <c r="E68" i="18" s="1"/>
  <c r="E69" i="18" s="1"/>
  <c r="E18" i="19" l="1"/>
  <c r="E75" i="19" s="1"/>
  <c r="E17" i="19"/>
  <c r="E62" i="19"/>
  <c r="E63" i="19" s="1"/>
  <c r="E47" i="19"/>
  <c r="E67" i="19" s="1"/>
  <c r="E51" i="18"/>
  <c r="E53" i="18" s="1"/>
  <c r="E17" i="18"/>
  <c r="E16" i="18"/>
  <c r="E44" i="19"/>
  <c r="E46" i="18"/>
  <c r="E57" i="18" s="1"/>
  <c r="E49" i="19" l="1"/>
  <c r="E37" i="18"/>
  <c r="E18" i="18"/>
  <c r="F51" i="18"/>
  <c r="F53" i="18" s="1"/>
  <c r="E58" i="18"/>
  <c r="E78" i="18"/>
  <c r="E42" i="18"/>
  <c r="E38" i="19"/>
  <c r="F42" i="19"/>
  <c r="F66" i="19" s="1"/>
  <c r="F47" i="19"/>
  <c r="F67" i="19" s="1"/>
  <c r="E48" i="18"/>
  <c r="E19" i="19"/>
  <c r="F49" i="19" l="1"/>
  <c r="F44" i="19"/>
  <c r="F58" i="18"/>
  <c r="G51" i="18"/>
  <c r="G53" i="18" s="1"/>
  <c r="F15" i="19"/>
  <c r="G42" i="19"/>
  <c r="G66" i="19" s="1"/>
  <c r="F46" i="18"/>
  <c r="F57" i="18" s="1"/>
  <c r="F14" i="18"/>
  <c r="G47" i="19"/>
  <c r="G67" i="19" s="1"/>
  <c r="F16" i="18" l="1"/>
  <c r="F17" i="18"/>
  <c r="F68" i="18"/>
  <c r="F69" i="18" s="1"/>
  <c r="G44" i="19"/>
  <c r="G58" i="18"/>
  <c r="H51" i="18"/>
  <c r="H53" i="18" s="1"/>
  <c r="G49" i="19"/>
  <c r="F48" i="18"/>
  <c r="F18" i="19"/>
  <c r="F75" i="19" s="1"/>
  <c r="F62" i="19"/>
  <c r="F63" i="19" s="1"/>
  <c r="F17" i="19"/>
  <c r="H47" i="19" l="1"/>
  <c r="H67" i="19" s="1"/>
  <c r="H42" i="19"/>
  <c r="H66" i="19" s="1"/>
  <c r="I51" i="18"/>
  <c r="I53" i="18" s="1"/>
  <c r="I58" i="18" s="1"/>
  <c r="H58" i="18"/>
  <c r="G46" i="18"/>
  <c r="G57" i="18" s="1"/>
  <c r="F78" i="18"/>
  <c r="F42" i="18"/>
  <c r="F38" i="19"/>
  <c r="F19" i="19"/>
  <c r="F18" i="18"/>
  <c r="F37" i="18"/>
  <c r="G48" i="18" l="1"/>
  <c r="H44" i="19"/>
  <c r="I44" i="19" s="1"/>
  <c r="G14" i="18"/>
  <c r="G15" i="19"/>
  <c r="H46" i="18"/>
  <c r="H57" i="18" s="1"/>
  <c r="H49" i="19"/>
  <c r="I42" i="19"/>
  <c r="I66" i="19" s="1"/>
  <c r="H48" i="18" l="1"/>
  <c r="I46" i="18"/>
  <c r="I57" i="18" s="1"/>
  <c r="G62" i="19"/>
  <c r="G63" i="19" s="1"/>
  <c r="G17" i="19"/>
  <c r="G18" i="19"/>
  <c r="G75" i="19" s="1"/>
  <c r="I47" i="19"/>
  <c r="I67" i="19" s="1"/>
  <c r="I49" i="19"/>
  <c r="G68" i="18"/>
  <c r="G69" i="18" s="1"/>
  <c r="G16" i="18"/>
  <c r="G17" i="18"/>
  <c r="I48" i="18" l="1"/>
  <c r="G38" i="19"/>
  <c r="G42" i="18"/>
  <c r="G78" i="18"/>
  <c r="G37" i="18"/>
  <c r="G18" i="18"/>
  <c r="G19" i="19"/>
  <c r="H15" i="19" l="1"/>
  <c r="H14" i="18"/>
  <c r="H68" i="18" l="1"/>
  <c r="H69" i="18" s="1"/>
  <c r="H17" i="18"/>
  <c r="H16" i="18"/>
  <c r="H18" i="19"/>
  <c r="H75" i="19" s="1"/>
  <c r="H62" i="19"/>
  <c r="H63" i="19" s="1"/>
  <c r="H17" i="19"/>
  <c r="H37" i="18" l="1"/>
  <c r="H18" i="18"/>
  <c r="H38" i="19"/>
  <c r="H19" i="19"/>
  <c r="H42" i="18"/>
  <c r="H78" i="18"/>
  <c r="I14" i="18" l="1"/>
  <c r="I15" i="19"/>
  <c r="I17" i="18" l="1"/>
  <c r="I16" i="18"/>
  <c r="I68" i="18"/>
  <c r="I69" i="18" s="1"/>
  <c r="I18" i="19"/>
  <c r="I75" i="19" s="1"/>
  <c r="I62" i="19"/>
  <c r="I63" i="19" s="1"/>
  <c r="I17" i="19"/>
  <c r="I18" i="18" l="1"/>
  <c r="I31" i="18" s="1"/>
  <c r="I38" i="19"/>
  <c r="H26" i="19"/>
  <c r="E26" i="19"/>
  <c r="D39" i="19"/>
  <c r="D26" i="19"/>
  <c r="G26" i="19"/>
  <c r="F26" i="19"/>
  <c r="I19" i="19"/>
  <c r="I32" i="19" s="1"/>
  <c r="H25" i="18"/>
  <c r="I37" i="18"/>
  <c r="E25" i="18"/>
  <c r="D25" i="18"/>
  <c r="F25" i="18"/>
  <c r="D38" i="18"/>
  <c r="G25" i="18"/>
  <c r="I78" i="18"/>
  <c r="I42" i="18"/>
  <c r="D43" i="18"/>
  <c r="D29" i="19" l="1"/>
  <c r="D54" i="19" s="1"/>
  <c r="D30" i="19"/>
  <c r="D32" i="19" s="1"/>
  <c r="E41" i="18"/>
  <c r="E43" i="18" s="1"/>
  <c r="E35" i="18"/>
  <c r="E71" i="18" s="1"/>
  <c r="E73" i="18" s="1"/>
  <c r="E74" i="18" s="1"/>
  <c r="D28" i="18"/>
  <c r="D60" i="18" s="1"/>
  <c r="E36" i="19"/>
  <c r="E65" i="19" s="1"/>
  <c r="D29" i="18" l="1"/>
  <c r="D31" i="18" s="1"/>
  <c r="E38" i="18"/>
  <c r="F35" i="18" s="1"/>
  <c r="F71" i="18" s="1"/>
  <c r="F73" i="18" s="1"/>
  <c r="F74" i="18" s="1"/>
  <c r="E52" i="19"/>
  <c r="E68" i="19" s="1"/>
  <c r="E70" i="19" s="1"/>
  <c r="E71" i="19" s="1"/>
  <c r="E39" i="19"/>
  <c r="E56" i="18"/>
  <c r="E59" i="18" s="1"/>
  <c r="F41" i="18"/>
  <c r="F43" i="18" s="1"/>
  <c r="E53" i="19" l="1"/>
  <c r="E59" i="19" s="1"/>
  <c r="E60" i="19" s="1"/>
  <c r="E73" i="19" s="1"/>
  <c r="E77" i="19" s="1"/>
  <c r="G41" i="18"/>
  <c r="G43" i="18" s="1"/>
  <c r="F56" i="18"/>
  <c r="E65" i="18"/>
  <c r="E66" i="18" s="1"/>
  <c r="E76" i="18" s="1"/>
  <c r="E80" i="18" s="1"/>
  <c r="E60" i="18"/>
  <c r="F36" i="19"/>
  <c r="F65" i="19" s="1"/>
  <c r="F38" i="18"/>
  <c r="E54" i="19" l="1"/>
  <c r="F52" i="19" s="1"/>
  <c r="F68" i="19" s="1"/>
  <c r="F70" i="19" s="1"/>
  <c r="F71" i="19" s="1"/>
  <c r="H41" i="18"/>
  <c r="H43" i="18" s="1"/>
  <c r="G56" i="18"/>
  <c r="F39" i="19"/>
  <c r="G35" i="18"/>
  <c r="G71" i="18" s="1"/>
  <c r="G73" i="18" s="1"/>
  <c r="G74" i="18" s="1"/>
  <c r="F59" i="18"/>
  <c r="F65" i="18" s="1"/>
  <c r="F66" i="18" s="1"/>
  <c r="F76" i="18" s="1"/>
  <c r="F80" i="18" s="1"/>
  <c r="E28" i="18"/>
  <c r="E29" i="18" s="1"/>
  <c r="E31" i="18" s="1"/>
  <c r="E29" i="19" l="1"/>
  <c r="E30" i="19" s="1"/>
  <c r="E32" i="19" s="1"/>
  <c r="G38" i="18"/>
  <c r="G36" i="19"/>
  <c r="G65" i="19" s="1"/>
  <c r="H35" i="18"/>
  <c r="H71" i="18" s="1"/>
  <c r="H73" i="18" s="1"/>
  <c r="H74" i="18" s="1"/>
  <c r="I41" i="18"/>
  <c r="I43" i="18" s="1"/>
  <c r="I56" i="18" s="1"/>
  <c r="H56" i="18"/>
  <c r="F60" i="18"/>
  <c r="F53" i="19"/>
  <c r="F28" i="18" l="1"/>
  <c r="F29" i="18" s="1"/>
  <c r="F31" i="18" s="1"/>
  <c r="G59" i="18"/>
  <c r="G65" i="18" s="1"/>
  <c r="G66" i="18" s="1"/>
  <c r="G76" i="18" s="1"/>
  <c r="G80" i="18" s="1"/>
  <c r="H38" i="18"/>
  <c r="F59" i="19"/>
  <c r="F60" i="19" s="1"/>
  <c r="F73" i="19" s="1"/>
  <c r="F77" i="19" s="1"/>
  <c r="F54" i="19"/>
  <c r="G39" i="19"/>
  <c r="G60" i="18" l="1"/>
  <c r="G28" i="18" s="1"/>
  <c r="G29" i="18" s="1"/>
  <c r="G31" i="18" s="1"/>
  <c r="H36" i="19"/>
  <c r="H65" i="19" s="1"/>
  <c r="I35" i="18"/>
  <c r="I71" i="18" s="1"/>
  <c r="I73" i="18" s="1"/>
  <c r="I74" i="18" s="1"/>
  <c r="G52" i="19"/>
  <c r="G68" i="19" s="1"/>
  <c r="G70" i="19" s="1"/>
  <c r="G71" i="19" s="1"/>
  <c r="F29" i="19"/>
  <c r="F30" i="19" s="1"/>
  <c r="F32" i="19" s="1"/>
  <c r="H39" i="19" l="1"/>
  <c r="H59" i="18"/>
  <c r="H65" i="18" s="1"/>
  <c r="H66" i="18" s="1"/>
  <c r="H76" i="18" s="1"/>
  <c r="H80" i="18" s="1"/>
  <c r="I38" i="18"/>
  <c r="G53" i="19"/>
  <c r="G59" i="19" s="1"/>
  <c r="G60" i="19" s="1"/>
  <c r="G73" i="19" s="1"/>
  <c r="G77" i="19" s="1"/>
  <c r="I36" i="19"/>
  <c r="I65" i="19" s="1"/>
  <c r="G54" i="19" l="1"/>
  <c r="H52" i="19" s="1"/>
  <c r="H68" i="19" s="1"/>
  <c r="H70" i="19" s="1"/>
  <c r="H71" i="19" s="1"/>
  <c r="I39" i="19"/>
  <c r="H60" i="18"/>
  <c r="H28" i="18" s="1"/>
  <c r="H29" i="18" s="1"/>
  <c r="H31" i="18" s="1"/>
  <c r="I59" i="18"/>
  <c r="I65" i="18" s="1"/>
  <c r="I66" i="18" s="1"/>
  <c r="I76" i="18" s="1"/>
  <c r="I80" i="18" s="1"/>
  <c r="G29" i="19" l="1"/>
  <c r="G30" i="19" s="1"/>
  <c r="G32" i="19" s="1"/>
  <c r="H53" i="19"/>
  <c r="H59" i="19" s="1"/>
  <c r="H60" i="19" s="1"/>
  <c r="H73" i="19" s="1"/>
  <c r="H77" i="19" s="1"/>
  <c r="H54" i="19"/>
  <c r="H29" i="19" s="1"/>
  <c r="H30" i="19" s="1"/>
  <c r="H32" i="19" s="1"/>
  <c r="I60" i="18"/>
  <c r="I28" i="18" s="1"/>
  <c r="I52" i="19" l="1"/>
  <c r="I68" i="19" s="1"/>
  <c r="I70" i="19" s="1"/>
  <c r="I71" i="19" s="1"/>
  <c r="I53" i="19" l="1"/>
  <c r="I59" i="19" s="1"/>
  <c r="I60" i="19" s="1"/>
  <c r="I73" i="19" s="1"/>
  <c r="I77" i="19" s="1"/>
  <c r="I54" i="19" l="1"/>
  <c r="I29" i="19" s="1"/>
</calcChain>
</file>

<file path=xl/sharedStrings.xml><?xml version="1.0" encoding="utf-8"?>
<sst xmlns="http://schemas.openxmlformats.org/spreadsheetml/2006/main" count="178" uniqueCount="86">
  <si>
    <t>Time</t>
  </si>
  <si>
    <t>Exemple 1 - MHV</t>
  </si>
  <si>
    <t>Hypothèses et caractéristiques :</t>
  </si>
  <si>
    <t>Part des titulaires de l'expérience de 90 % payée en dividendes à la fin de l'année</t>
  </si>
  <si>
    <r>
      <t>Hypothèse de croissance de</t>
    </r>
    <r>
      <rPr>
        <sz val="11"/>
        <color rgb="FF0070C0"/>
        <rFont val="Calibri"/>
        <family val="2"/>
        <scheme val="minor"/>
      </rPr>
      <t xml:space="preserve"> 5 %</t>
    </r>
  </si>
  <si>
    <r>
      <t xml:space="preserve">Part de l'entité de l'expérience de </t>
    </r>
    <r>
      <rPr>
        <sz val="11"/>
        <color rgb="FF0070C0"/>
        <rFont val="Calibri"/>
        <family val="2"/>
        <scheme val="minor"/>
      </rPr>
      <t>10 %</t>
    </r>
  </si>
  <si>
    <t>Expérience actuelle égale à l'expérience attendue</t>
  </si>
  <si>
    <t>Amortissement de la MSC de 20 % dans la première année et croissant de 20 % par année</t>
  </si>
  <si>
    <t>Actifs du fonds participant</t>
  </si>
  <si>
    <t>Commentaires</t>
  </si>
  <si>
    <t>Prime</t>
  </si>
  <si>
    <t>Croissance</t>
  </si>
  <si>
    <t>Dividendes</t>
  </si>
  <si>
    <t>Part de l'entité</t>
  </si>
  <si>
    <t>Actifs du fonds participant (fin de période)</t>
  </si>
  <si>
    <t>Flux de trésorerie de l'ajustement au titre du risque (AR)</t>
  </si>
  <si>
    <t>Coût de la garantie (CG)</t>
  </si>
  <si>
    <t>Passif du compte participant</t>
  </si>
  <si>
    <t>Estimé courant</t>
  </si>
  <si>
    <t>AR</t>
  </si>
  <si>
    <t>CG</t>
  </si>
  <si>
    <t>Passif d'assurance</t>
  </si>
  <si>
    <t>Surplus participant</t>
  </si>
  <si>
    <t>Mouvement de l'estimé courant</t>
  </si>
  <si>
    <t>+ Prime</t>
  </si>
  <si>
    <t>+ Intérêt requis</t>
  </si>
  <si>
    <t>- Dividendes (fin de période)</t>
  </si>
  <si>
    <t>Fin de période</t>
  </si>
  <si>
    <t>Mouvement de la part de l'entité</t>
  </si>
  <si>
    <t>- Libération prévue (fin de période)</t>
  </si>
  <si>
    <t>Mouvement de l'AR</t>
  </si>
  <si>
    <t>Mouvement du CG</t>
  </si>
  <si>
    <t>Mouvement de la MSC</t>
  </si>
  <si>
    <t>Variation de la part de l'entité</t>
  </si>
  <si>
    <t>Valeur temps de l'argent de l'AR</t>
  </si>
  <si>
    <t>Variation du CG</t>
  </si>
  <si>
    <t>- Amortissement de la MSC</t>
  </si>
  <si>
    <t>État des résultats</t>
  </si>
  <si>
    <t>Libération de l'AR</t>
  </si>
  <si>
    <t>Amortissement de la MSC</t>
  </si>
  <si>
    <t>Revenu de placement</t>
  </si>
  <si>
    <t>Résultat financier d'assurance</t>
  </si>
  <si>
    <t>Revenu net</t>
  </si>
  <si>
    <t>Revenu net attribuable au compte des actionnnaires</t>
  </si>
  <si>
    <t>Croissance de 5 %</t>
  </si>
  <si>
    <t>La seule expérience est la croissance de 5 % et la part des titulaires est 90 %. Ceci est payé en dividendes à la fin de l'année</t>
  </si>
  <si>
    <t>La seule expérience est la croissance de 5 % et la part de l'entité est 10 %.</t>
  </si>
  <si>
    <t>Il s'agit de la part des titulaires des éléments sous-jacents</t>
  </si>
  <si>
    <t>Les flux de trésorerie de l'AR sont escomptés au taux de croissance de 5 %</t>
  </si>
  <si>
    <t>Les flux de trésorerie du CG sont escomptés au taux de croissance de 5 %</t>
  </si>
  <si>
    <t>MSC initiale = - (Estimé courant + AR + CG), MSC des années 1 à 5 déterminée ci-dessous (lignes 56 à 60)</t>
  </si>
  <si>
    <t>La variation liée à la valeur temps de l'argent ajuste la MSC (voir section 7.1.3.3)</t>
  </si>
  <si>
    <t>L'AR est désagrégé dans l'exemple, la portion liée à la libération de l'AR dans la période est du revenu d'assurance (voir section 7.1.3.3)</t>
  </si>
  <si>
    <t>L'AR est désagrégé dans l'exemple, ainsi la portion de la variation liée à la valeur temps de l'argent ajuste la MSC (voir section 7.1.3.3)</t>
  </si>
  <si>
    <t>Charge financière d'assurance (CFA)</t>
  </si>
  <si>
    <t>Le résultat financier d'assurance est nul quand tous les actifs font partie des éléments sous-jacents (voir section 7.1.3.1)</t>
  </si>
  <si>
    <t>Exemple 2 - MGE</t>
  </si>
  <si>
    <t>Valeur temps de l'argent de l'estimé courant</t>
  </si>
  <si>
    <t>Valeur temps de l'argent de la MSC</t>
  </si>
  <si>
    <t>Durée</t>
  </si>
  <si>
    <t>- Prestations (fin de période)</t>
  </si>
  <si>
    <t>Produit financier d'assurance</t>
  </si>
  <si>
    <t>Variation de juste valeur des éléments sous-jacents</t>
  </si>
  <si>
    <t>Le surplus participant est la différence entre les actifs du fonds participant et les passifs du compte participant</t>
  </si>
  <si>
    <t>Prestations payées</t>
  </si>
  <si>
    <t>Marge sur services contractuels</t>
  </si>
  <si>
    <t>Capitalisation de l'intérêt</t>
  </si>
  <si>
    <t>Résultat des activités d'assurance</t>
  </si>
  <si>
    <t>La variation de la part de l'entité des éléments sous-jacents ajuste la MSC ( voir section 7.1.3.2)</t>
  </si>
  <si>
    <t>20 % à l'année 1, 40 % à l'année 2,  60 % à l'année 3, 80 % à l'année 4, et 100 % à l'année 5</t>
  </si>
  <si>
    <t xml:space="preserve"> La CFA compense le revenu financier quand tous les actifs font partie des éléments sous-jacents (voir la section 7.1.3.1)</t>
  </si>
  <si>
    <t>L'estimé courant des flux de trésorerie escompté au taux de croissance de 5 % car varie en fonction des éléments sous-jacents</t>
  </si>
  <si>
    <t>Intérêt accumulé sur la MSC au taux immobilisé de 2 %</t>
  </si>
  <si>
    <t>L'effet de la valeur temps de l'argent va au résultat net sous la MGE</t>
  </si>
  <si>
    <t>L'effet de la valeur temps de l'argent et des risques financiers va au résultat net sous la MGE</t>
  </si>
  <si>
    <t>La variation du CG est un risque financier et l'option d'atténuation des risques n'est pas appliquée, 
ainsi toutes les variations du CG impactent la MSC (voir section 7.1.3.3)</t>
  </si>
  <si>
    <t>Effet de l'option d'atténuation des risques</t>
  </si>
  <si>
    <r>
      <t>Taux d'actualisation applicable à des flux qui ne varient pas en fonction d'un sous-jacent de</t>
    </r>
    <r>
      <rPr>
        <sz val="11"/>
        <color rgb="FF0070C0"/>
        <rFont val="Calibri"/>
        <family val="2"/>
        <scheme val="minor"/>
      </rPr>
      <t xml:space="preserve"> 2%</t>
    </r>
  </si>
  <si>
    <t>Report prospectif ("rollforward") de la MSC</t>
  </si>
  <si>
    <t>Prime de 1 000 $ payée à l'émission et montant nominal de 1 000 $</t>
  </si>
  <si>
    <t>Montant nominal de 1 000 $ payé au décès ou à la fin de la période de couverture</t>
  </si>
  <si>
    <t>Prime initiale de 1 000 $ au début de la période</t>
  </si>
  <si>
    <t>Présume des prestations payées réelles et prévues de 0 aux années 1 à 4 et un paiement de 1 000 $ à la fin de l'année 5</t>
  </si>
  <si>
    <t>L'AR prévu est 2 $ par année, mais aucune occurrence réelle se produit</t>
  </si>
  <si>
    <t>Le CG prévu est 1 $ par année, mais aucune occurrence réelle se produit</t>
  </si>
  <si>
    <t>Revenu net attribuable au compte de participations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</si>
</sst>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0" fillId="3" borderId="0" xfId="0" applyFill="1" applyAlignment="1">
      <alignment horizontal="left" indent="1"/>
    </xf>
    <xf numFmtId="0" fontId="1" fillId="3" borderId="0" xfId="0" applyFont="1" applyFill="1" applyAlignment="1">
      <alignment horizontal="left" indent="2"/>
    </xf>
    <xf numFmtId="165" fontId="1" fillId="3" borderId="0" xfId="1" applyNumberFormat="1" applyFont="1" applyFill="1"/>
    <xf numFmtId="0" fontId="5" fillId="3" borderId="3" xfId="0" applyFont="1" applyFill="1" applyBorder="1" applyAlignment="1">
      <alignment horizontal="left" indent="2"/>
    </xf>
    <xf numFmtId="165" fontId="5" fillId="3" borderId="3" xfId="1" applyNumberFormat="1" applyFont="1" applyFill="1" applyBorder="1"/>
    <xf numFmtId="165" fontId="6" fillId="3" borderId="0" xfId="1" applyNumberFormat="1" applyFont="1" applyFill="1"/>
    <xf numFmtId="0" fontId="4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indent="2"/>
    </xf>
    <xf numFmtId="0" fontId="2" fillId="3" borderId="3" xfId="0" applyFont="1" applyFill="1" applyBorder="1" applyAlignment="1">
      <alignment horizontal="left" indent="1"/>
    </xf>
    <xf numFmtId="0" fontId="8" fillId="3" borderId="0" xfId="0" applyFont="1" applyFill="1"/>
    <xf numFmtId="166" fontId="1" fillId="3" borderId="0" xfId="1" applyNumberFormat="1" applyFont="1" applyFill="1"/>
    <xf numFmtId="166" fontId="5" fillId="3" borderId="3" xfId="1" applyNumberFormat="1" applyFont="1" applyFill="1" applyBorder="1"/>
    <xf numFmtId="0" fontId="1" fillId="3" borderId="0" xfId="0" quotePrefix="1" applyFont="1" applyFill="1" applyAlignment="1">
      <alignment horizontal="left" indent="1"/>
    </xf>
    <xf numFmtId="0" fontId="2" fillId="3" borderId="3" xfId="0" applyFont="1" applyFill="1" applyBorder="1"/>
    <xf numFmtId="166" fontId="0" fillId="0" borderId="0" xfId="0" applyNumberFormat="1"/>
    <xf numFmtId="0" fontId="4" fillId="2" borderId="0" xfId="0" applyFont="1" applyFill="1"/>
    <xf numFmtId="43" fontId="0" fillId="0" borderId="0" xfId="0" applyNumberFormat="1"/>
    <xf numFmtId="0" fontId="1" fillId="3" borderId="0" xfId="0" applyFont="1" applyFill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3" borderId="0" xfId="0" applyFill="1" applyAlignment="1">
      <alignment horizontal="left" indent="2"/>
    </xf>
    <xf numFmtId="0" fontId="1" fillId="3" borderId="2" xfId="0" applyFont="1" applyFill="1" applyBorder="1" applyAlignment="1">
      <alignment horizontal="left" indent="4"/>
    </xf>
    <xf numFmtId="0" fontId="0" fillId="3" borderId="0" xfId="0" applyFill="1" applyAlignment="1">
      <alignment horizontal="left" indent="3"/>
    </xf>
    <xf numFmtId="0" fontId="1" fillId="3" borderId="0" xfId="0" applyFont="1" applyFill="1" applyAlignment="1">
      <alignment horizontal="left" indent="4"/>
    </xf>
    <xf numFmtId="166" fontId="6" fillId="3" borderId="0" xfId="1" applyNumberFormat="1" applyFont="1" applyFill="1"/>
    <xf numFmtId="166" fontId="5" fillId="0" borderId="3" xfId="1" applyNumberFormat="1" applyFont="1" applyFill="1" applyBorder="1"/>
    <xf numFmtId="0" fontId="0" fillId="3" borderId="1" xfId="0" applyFill="1" applyBorder="1"/>
    <xf numFmtId="166" fontId="1" fillId="3" borderId="3" xfId="1" applyNumberFormat="1" applyFont="1" applyFill="1" applyBorder="1"/>
    <xf numFmtId="0" fontId="2" fillId="3" borderId="3" xfId="0" applyFont="1" applyFill="1" applyBorder="1" applyAlignment="1">
      <alignment horizontal="left" indent="2"/>
    </xf>
    <xf numFmtId="0" fontId="0" fillId="3" borderId="3" xfId="0" applyFill="1" applyBorder="1" applyAlignment="1">
      <alignment horizontal="left" indent="3"/>
    </xf>
    <xf numFmtId="0" fontId="0" fillId="3" borderId="2" xfId="0" applyFill="1" applyBorder="1" applyAlignment="1">
      <alignment horizontal="left" indent="3"/>
    </xf>
    <xf numFmtId="0" fontId="0" fillId="3" borderId="0" xfId="0" applyFill="1"/>
    <xf numFmtId="166" fontId="12" fillId="3" borderId="0" xfId="1" applyNumberFormat="1" applyFont="1" applyFill="1"/>
    <xf numFmtId="0" fontId="11" fillId="3" borderId="0" xfId="0" applyFont="1" applyFill="1"/>
    <xf numFmtId="166" fontId="13" fillId="3" borderId="0" xfId="1" applyNumberFormat="1" applyFont="1" applyFill="1" applyBorder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3" borderId="0" xfId="0" applyFont="1" applyFill="1"/>
    <xf numFmtId="0" fontId="0" fillId="4" borderId="0" xfId="0" applyFill="1"/>
    <xf numFmtId="164" fontId="0" fillId="0" borderId="0" xfId="0" applyNumberFormat="1"/>
    <xf numFmtId="0" fontId="0" fillId="0" borderId="0" xfId="0" applyAlignment="1">
      <alignment horizontal="center" wrapText="1"/>
    </xf>
    <xf numFmtId="166" fontId="1" fillId="3" borderId="0" xfId="1" applyNumberFormat="1" applyFont="1" applyFill="1" applyAlignment="1">
      <alignment vertical="center"/>
    </xf>
    <xf numFmtId="0" fontId="1" fillId="3" borderId="0" xfId="0" quotePrefix="1" applyFont="1" applyFill="1" applyAlignment="1">
      <alignment horizontal="left" vertical="center" inden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0AB5E-5FBE-48A3-BF16-9502E1F9D737}">
  <sheetPr>
    <tabColor theme="9" tint="-0.499984740745262"/>
    <pageSetUpPr fitToPage="1"/>
  </sheetPr>
  <dimension ref="A1:J83"/>
  <sheetViews>
    <sheetView tabSelected="1" view="pageLayout" topLeftCell="A61" zoomScaleNormal="100" workbookViewId="0">
      <selection activeCell="G72" sqref="G72"/>
    </sheetView>
  </sheetViews>
  <sheetFormatPr defaultColWidth="9.21875" defaultRowHeight="14.4" x14ac:dyDescent="0.3"/>
  <cols>
    <col min="1" max="1" width="5.77734375" customWidth="1"/>
    <col min="2" max="2" width="34.21875" customWidth="1"/>
    <col min="3" max="3" width="6.21875" customWidth="1"/>
    <col min="4" max="9" width="10.44140625" customWidth="1"/>
    <col min="10" max="10" width="124.21875" customWidth="1"/>
  </cols>
  <sheetData>
    <row r="1" spans="1:10" x14ac:dyDescent="0.3">
      <c r="A1" s="2" t="s">
        <v>1</v>
      </c>
    </row>
    <row r="3" spans="1:10" x14ac:dyDescent="0.3">
      <c r="A3" s="2" t="s">
        <v>2</v>
      </c>
    </row>
    <row r="4" spans="1:10" x14ac:dyDescent="0.3">
      <c r="B4" t="s">
        <v>79</v>
      </c>
    </row>
    <row r="5" spans="1:10" x14ac:dyDescent="0.3">
      <c r="B5" t="s">
        <v>80</v>
      </c>
    </row>
    <row r="6" spans="1:10" x14ac:dyDescent="0.3">
      <c r="B6" t="s">
        <v>4</v>
      </c>
    </row>
    <row r="7" spans="1:10" x14ac:dyDescent="0.3">
      <c r="B7" t="s">
        <v>5</v>
      </c>
    </row>
    <row r="8" spans="1:10" x14ac:dyDescent="0.3">
      <c r="B8" t="s">
        <v>3</v>
      </c>
    </row>
    <row r="9" spans="1:10" x14ac:dyDescent="0.3">
      <c r="B9" t="s">
        <v>6</v>
      </c>
    </row>
    <row r="10" spans="1:10" x14ac:dyDescent="0.3">
      <c r="B10" t="s">
        <v>7</v>
      </c>
    </row>
    <row r="12" spans="1:10" x14ac:dyDescent="0.3">
      <c r="B12" s="4" t="s">
        <v>8</v>
      </c>
      <c r="C12" s="4" t="s">
        <v>59</v>
      </c>
      <c r="D12" s="11">
        <v>0</v>
      </c>
      <c r="E12" s="11">
        <v>1</v>
      </c>
      <c r="F12" s="11">
        <v>2</v>
      </c>
      <c r="G12" s="11">
        <v>3</v>
      </c>
      <c r="H12" s="11">
        <v>4</v>
      </c>
      <c r="I12" s="11">
        <v>5</v>
      </c>
      <c r="J12" s="11" t="s">
        <v>9</v>
      </c>
    </row>
    <row r="13" spans="1:10" x14ac:dyDescent="0.3">
      <c r="B13" s="6" t="s">
        <v>10</v>
      </c>
      <c r="C13" s="6"/>
      <c r="D13" s="6"/>
      <c r="E13" s="10">
        <v>1000</v>
      </c>
      <c r="F13" s="10">
        <v>0</v>
      </c>
      <c r="G13" s="10">
        <v>0</v>
      </c>
      <c r="H13" s="10">
        <v>0</v>
      </c>
      <c r="I13" s="10">
        <v>0</v>
      </c>
      <c r="J13" s="1" t="s">
        <v>81</v>
      </c>
    </row>
    <row r="14" spans="1:10" x14ac:dyDescent="0.3">
      <c r="B14" s="6" t="s">
        <v>11</v>
      </c>
      <c r="C14" s="6"/>
      <c r="D14" s="6"/>
      <c r="E14" s="7">
        <f xml:space="preserve"> (D18 + E13) * RIGHT($B$6, 3)</f>
        <v>50</v>
      </c>
      <c r="F14" s="7">
        <f xml:space="preserve"> (E18 + F13) * RIGHT($B$6, 3)</f>
        <v>50</v>
      </c>
      <c r="G14" s="7">
        <f xml:space="preserve"> (F18 + G13) * RIGHT($B$6, 3)</f>
        <v>50</v>
      </c>
      <c r="H14" s="7">
        <f xml:space="preserve"> (G18 + H13) * RIGHT($B$6, 3)</f>
        <v>50</v>
      </c>
      <c r="I14" s="7">
        <f xml:space="preserve"> (H18 + I13) * RIGHT($B$6, 3)</f>
        <v>50</v>
      </c>
      <c r="J14" s="1" t="s">
        <v>44</v>
      </c>
    </row>
    <row r="15" spans="1:10" x14ac:dyDescent="0.3">
      <c r="B15" s="6" t="s">
        <v>64</v>
      </c>
      <c r="C15" s="6"/>
      <c r="D15" s="6"/>
      <c r="E15" s="10">
        <v>0</v>
      </c>
      <c r="F15" s="10">
        <v>0</v>
      </c>
      <c r="G15" s="10">
        <v>0</v>
      </c>
      <c r="H15" s="10">
        <v>0</v>
      </c>
      <c r="I15" s="10">
        <v>-1000</v>
      </c>
      <c r="J15" s="1" t="s">
        <v>82</v>
      </c>
    </row>
    <row r="16" spans="1:10" x14ac:dyDescent="0.3">
      <c r="B16" s="6" t="s">
        <v>12</v>
      </c>
      <c r="C16" s="6"/>
      <c r="D16" s="6"/>
      <c r="E16" s="7">
        <f xml:space="preserve"> - E$14 * (1 - RIGHT($B$7, 4) )</f>
        <v>-45</v>
      </c>
      <c r="F16" s="7">
        <f xml:space="preserve"> - F$14 * (1 - RIGHT($B$7, 4) )</f>
        <v>-45</v>
      </c>
      <c r="G16" s="7">
        <f xml:space="preserve"> - G$14 * (1 - RIGHT($B$7, 4) )</f>
        <v>-45</v>
      </c>
      <c r="H16" s="7">
        <f xml:space="preserve"> - H$14 * (1 - RIGHT($B$7, 4) )</f>
        <v>-45</v>
      </c>
      <c r="I16" s="7">
        <f xml:space="preserve"> - I$14 * (1 - RIGHT($B$7, 4) )</f>
        <v>-45</v>
      </c>
      <c r="J16" s="1" t="s">
        <v>45</v>
      </c>
    </row>
    <row r="17" spans="2:10" x14ac:dyDescent="0.3">
      <c r="B17" s="6" t="s">
        <v>13</v>
      </c>
      <c r="C17" s="6"/>
      <c r="D17" s="6"/>
      <c r="E17" s="7">
        <f xml:space="preserve"> - E$14 * RIGHT($B$7, 4)</f>
        <v>-5</v>
      </c>
      <c r="F17" s="7">
        <f xml:space="preserve"> - F$14 * RIGHT($B$7, 4)</f>
        <v>-5</v>
      </c>
      <c r="G17" s="7">
        <f xml:space="preserve"> - G$14 * RIGHT($B$7, 4)</f>
        <v>-5</v>
      </c>
      <c r="H17" s="7">
        <f xml:space="preserve"> - H$14 * RIGHT($B$7, 4)</f>
        <v>-5</v>
      </c>
      <c r="I17" s="7">
        <f xml:space="preserve"> - I$14 * RIGHT($B$7, 4)</f>
        <v>-5</v>
      </c>
      <c r="J17" s="1" t="s">
        <v>46</v>
      </c>
    </row>
    <row r="18" spans="2:10" x14ac:dyDescent="0.3">
      <c r="B18" s="8" t="s">
        <v>14</v>
      </c>
      <c r="C18" s="8"/>
      <c r="D18" s="9">
        <v>0</v>
      </c>
      <c r="E18" s="9">
        <f>SUM(E13:E17)</f>
        <v>1000</v>
      </c>
      <c r="F18" s="9">
        <f>E18 + SUM(F13:F17)</f>
        <v>1000</v>
      </c>
      <c r="G18" s="9">
        <f>F18 + SUM(G13:G17)</f>
        <v>1000</v>
      </c>
      <c r="H18" s="9">
        <f>G18 + SUM(H13:H17)</f>
        <v>1000</v>
      </c>
      <c r="I18" s="9">
        <f>H18 + SUM(I13:I17)</f>
        <v>0</v>
      </c>
    </row>
    <row r="20" spans="2:10" x14ac:dyDescent="0.3">
      <c r="B20" s="14" t="s">
        <v>15</v>
      </c>
      <c r="E20" s="10">
        <v>2</v>
      </c>
      <c r="F20" s="10">
        <v>2</v>
      </c>
      <c r="G20" s="10">
        <v>2</v>
      </c>
      <c r="H20" s="10">
        <v>2</v>
      </c>
      <c r="I20" s="10">
        <v>2</v>
      </c>
      <c r="J20" s="1" t="s">
        <v>83</v>
      </c>
    </row>
    <row r="21" spans="2:10" x14ac:dyDescent="0.3">
      <c r="B21" s="14" t="s">
        <v>16</v>
      </c>
      <c r="E21" s="10">
        <v>1</v>
      </c>
      <c r="F21" s="10">
        <v>1</v>
      </c>
      <c r="G21" s="10">
        <v>1</v>
      </c>
      <c r="H21" s="10">
        <v>1</v>
      </c>
      <c r="I21" s="10">
        <v>1</v>
      </c>
      <c r="J21" s="1" t="s">
        <v>84</v>
      </c>
    </row>
    <row r="23" spans="2:10" x14ac:dyDescent="0.3">
      <c r="B23" s="3" t="s">
        <v>17</v>
      </c>
      <c r="C23" s="4" t="s">
        <v>59</v>
      </c>
      <c r="D23" s="11">
        <v>0</v>
      </c>
      <c r="E23" s="11">
        <v>1</v>
      </c>
      <c r="F23" s="11">
        <v>2</v>
      </c>
      <c r="G23" s="11">
        <v>3</v>
      </c>
      <c r="H23" s="11">
        <v>4</v>
      </c>
      <c r="I23" s="11">
        <v>5</v>
      </c>
    </row>
    <row r="24" spans="2:10" x14ac:dyDescent="0.3">
      <c r="B24" s="5"/>
      <c r="C24" s="5"/>
      <c r="D24" s="5"/>
    </row>
    <row r="25" spans="2:10" x14ac:dyDescent="0.3">
      <c r="B25" s="12" t="s">
        <v>18</v>
      </c>
      <c r="C25" s="6"/>
      <c r="D25" s="15">
        <f xml:space="preserve"> - ( NPV( RIGHT($B$6, 3), E13:$I$13) * (1 + RIGHT($B$6, 3) ) + NPV( RIGHT($B$6, 3), E15:$I$15) + NPV( RIGHT($B$6, 3), E16:$I$16) )</f>
        <v>-21.647383353154254</v>
      </c>
      <c r="E25" s="15">
        <f xml:space="preserve"> - ( NPV( RIGHT($B$6, 3), F13:$I$13) * (1 + RIGHT($B$6, 3) ) + NPV( RIGHT($B$6, 3), F15:$I$15) + NPV( RIGHT($B$6, 3), F16:$I$16) )</f>
        <v>982.27024747918813</v>
      </c>
      <c r="F25" s="15">
        <f xml:space="preserve"> - ( NPV( RIGHT($B$6, 3), G13:$I$13) * (1 + RIGHT($B$6, 3) ) + NPV( RIGHT($B$6, 3), G15:$I$15) + NPV( RIGHT($B$6, 3), G16:$I$16) )</f>
        <v>986.38375985314758</v>
      </c>
      <c r="G25" s="15">
        <f xml:space="preserve"> - ( NPV( RIGHT($B$6, 3), H13:$I$13) * (1 + RIGHT($B$6, 3) ) + NPV( RIGHT($B$6, 3), H15:$I$15) + NPV( RIGHT($B$6, 3), H16:$I$16) )</f>
        <v>990.70294784580483</v>
      </c>
      <c r="H25" s="15">
        <f xml:space="preserve"> - ( NPV( RIGHT($B$6, 3), I13:$I$13) * (1 + RIGHT($B$6, 3) ) + NPV( RIGHT($B$6, 3), I15:$I$15) + NPV( RIGHT($B$6, 3), I16:$I$16) )</f>
        <v>995.23809523809518</v>
      </c>
      <c r="I25" s="15"/>
      <c r="J25" s="1" t="s">
        <v>47</v>
      </c>
    </row>
    <row r="26" spans="2:10" x14ac:dyDescent="0.3">
      <c r="B26" s="12" t="s">
        <v>19</v>
      </c>
      <c r="C26" s="6"/>
      <c r="D26" s="15">
        <f xml:space="preserve"> NPV( RIGHT($B$6, 3), E$20:$I$20)</f>
        <v>8.658953341261638</v>
      </c>
      <c r="E26" s="15">
        <f xml:space="preserve"> NPV( RIGHT($B$6, 3), F$20:$I$20)</f>
        <v>7.0919010083247205</v>
      </c>
      <c r="F26" s="15">
        <f xml:space="preserve"> NPV( RIGHT($B$6, 3), G$20:$I$20)</f>
        <v>5.4464960587409568</v>
      </c>
      <c r="G26" s="15">
        <f xml:space="preserve"> NPV( RIGHT($B$6, 3), H$20:$I$20)</f>
        <v>3.7188208616780041</v>
      </c>
      <c r="H26" s="15">
        <f xml:space="preserve"> NPV( RIGHT($B$6, 3), I$20:$I$20)</f>
        <v>1.9047619047619047</v>
      </c>
      <c r="I26" s="15"/>
      <c r="J26" s="1" t="s">
        <v>48</v>
      </c>
    </row>
    <row r="27" spans="2:10" x14ac:dyDescent="0.3">
      <c r="B27" s="12" t="s">
        <v>20</v>
      </c>
      <c r="C27" s="6"/>
      <c r="D27" s="15">
        <f xml:space="preserve"> NPV( RIGHT($B$6, 3), E$21:$I$21)</f>
        <v>4.329476670630819</v>
      </c>
      <c r="E27" s="15">
        <f xml:space="preserve"> NPV( RIGHT($B$6, 3), F$21:$I$21)</f>
        <v>3.5459505041623602</v>
      </c>
      <c r="F27" s="15">
        <f xml:space="preserve"> NPV( RIGHT($B$6, 3), G$21:$I$21)</f>
        <v>2.7232480293704784</v>
      </c>
      <c r="G27" s="15">
        <f xml:space="preserve"> NPV( RIGHT($B$6, 3), H$21:$I$21)</f>
        <v>1.859410430839002</v>
      </c>
      <c r="H27" s="15">
        <f xml:space="preserve"> NPV( RIGHT($B$6, 3), I$21:$I$21)</f>
        <v>0.95238095238095233</v>
      </c>
      <c r="I27" s="15"/>
      <c r="J27" s="1" t="s">
        <v>49</v>
      </c>
    </row>
    <row r="28" spans="2:10" x14ac:dyDescent="0.3">
      <c r="B28" s="12" t="s">
        <v>65</v>
      </c>
      <c r="C28" s="6"/>
      <c r="D28" s="15">
        <f xml:space="preserve"> -SUM(D25:D27)</f>
        <v>8.6589533412617961</v>
      </c>
      <c r="E28" s="15">
        <f>E60</f>
        <v>8.0735208066599036</v>
      </c>
      <c r="F28" s="15">
        <f>F60</f>
        <v>5.6568695142456837</v>
      </c>
      <c r="G28" s="15">
        <f>G60</f>
        <v>2.7716777268730928</v>
      </c>
      <c r="H28" s="15">
        <f>H60</f>
        <v>0.79152375399139818</v>
      </c>
      <c r="I28" s="15">
        <f>I60</f>
        <v>0</v>
      </c>
      <c r="J28" s="1" t="s">
        <v>50</v>
      </c>
    </row>
    <row r="29" spans="2:10" x14ac:dyDescent="0.3">
      <c r="B29" s="13" t="s">
        <v>21</v>
      </c>
      <c r="C29" s="8"/>
      <c r="D29" s="16">
        <f>SUM(D25:D28)</f>
        <v>0</v>
      </c>
      <c r="E29" s="16">
        <f>SUM(E25:E28)</f>
        <v>1000.981619798335</v>
      </c>
      <c r="F29" s="16">
        <f>SUM(F25:F28)</f>
        <v>1000.2103734555047</v>
      </c>
      <c r="G29" s="16">
        <f>SUM(G25:G28)</f>
        <v>999.05285686519494</v>
      </c>
      <c r="H29" s="16">
        <f>SUM(H25:H28)</f>
        <v>998.88676184922952</v>
      </c>
      <c r="I29" s="16"/>
    </row>
    <row r="30" spans="2:10" x14ac:dyDescent="0.3">
      <c r="E30" s="21"/>
      <c r="F30" s="21"/>
      <c r="G30" s="21"/>
      <c r="H30" s="21"/>
    </row>
    <row r="31" spans="2:10" x14ac:dyDescent="0.3">
      <c r="B31" s="13" t="s">
        <v>22</v>
      </c>
      <c r="C31" s="8"/>
      <c r="D31" s="16">
        <f t="shared" ref="D31:I31" si="0" xml:space="preserve"> D18 - D29</f>
        <v>0</v>
      </c>
      <c r="E31" s="16">
        <f t="shared" si="0"/>
        <v>-0.9816197983350321</v>
      </c>
      <c r="F31" s="16">
        <f t="shared" si="0"/>
        <v>-0.21037345550473674</v>
      </c>
      <c r="G31" s="16">
        <f t="shared" si="0"/>
        <v>0.94714313480506007</v>
      </c>
      <c r="H31" s="16">
        <f t="shared" si="0"/>
        <v>1.1132381507704849</v>
      </c>
      <c r="I31" s="16">
        <f t="shared" si="0"/>
        <v>0</v>
      </c>
      <c r="J31" s="1" t="s">
        <v>63</v>
      </c>
    </row>
    <row r="33" spans="2:10" x14ac:dyDescent="0.3">
      <c r="B33" s="3" t="s">
        <v>23</v>
      </c>
      <c r="C33" s="39" t="s">
        <v>0</v>
      </c>
      <c r="D33" s="40">
        <v>0</v>
      </c>
      <c r="E33" s="40">
        <v>1</v>
      </c>
      <c r="F33" s="40">
        <v>2</v>
      </c>
      <c r="G33" s="40">
        <v>3</v>
      </c>
      <c r="H33" s="40">
        <v>4</v>
      </c>
      <c r="I33" s="40">
        <v>5</v>
      </c>
    </row>
    <row r="34" spans="2:10" x14ac:dyDescent="0.3">
      <c r="B34" s="17" t="s">
        <v>24</v>
      </c>
      <c r="C34" s="15"/>
      <c r="D34" s="15"/>
      <c r="E34" s="15">
        <f>E13</f>
        <v>1000</v>
      </c>
      <c r="F34" s="15">
        <f>F13</f>
        <v>0</v>
      </c>
      <c r="G34" s="15">
        <f>G13</f>
        <v>0</v>
      </c>
      <c r="H34" s="15">
        <f>H13</f>
        <v>0</v>
      </c>
      <c r="I34" s="15">
        <f>I13</f>
        <v>0</v>
      </c>
    </row>
    <row r="35" spans="2:10" x14ac:dyDescent="0.3">
      <c r="B35" s="17" t="s">
        <v>25</v>
      </c>
      <c r="C35" s="15"/>
      <c r="D35" s="15"/>
      <c r="E35" s="15">
        <f xml:space="preserve"> (D38 + E34) * RIGHT($B$6, 3)</f>
        <v>48.91763083234229</v>
      </c>
      <c r="F35" s="15">
        <f t="shared" ref="F35:I35" si="1" xml:space="preserve"> (E38 + F34) * RIGHT($B$6, 3)</f>
        <v>49.113512373959395</v>
      </c>
      <c r="G35" s="15">
        <f t="shared" si="1"/>
        <v>49.319187992657362</v>
      </c>
      <c r="H35" s="15">
        <f t="shared" si="1"/>
        <v>49.535147392290234</v>
      </c>
      <c r="I35" s="15">
        <f t="shared" si="1"/>
        <v>49.761904761904745</v>
      </c>
      <c r="J35" s="1" t="s">
        <v>51</v>
      </c>
    </row>
    <row r="36" spans="2:10" x14ac:dyDescent="0.3">
      <c r="B36" s="17" t="s">
        <v>60</v>
      </c>
      <c r="C36" s="15"/>
      <c r="D36" s="15"/>
      <c r="E36" s="15">
        <f t="shared" ref="E36:I37" si="2">E15</f>
        <v>0</v>
      </c>
      <c r="F36" s="15">
        <f t="shared" si="2"/>
        <v>0</v>
      </c>
      <c r="G36" s="15">
        <f t="shared" si="2"/>
        <v>0</v>
      </c>
      <c r="H36" s="15">
        <f t="shared" si="2"/>
        <v>0</v>
      </c>
      <c r="I36" s="15">
        <f t="shared" si="2"/>
        <v>-1000</v>
      </c>
    </row>
    <row r="37" spans="2:10" x14ac:dyDescent="0.3">
      <c r="B37" s="17" t="s">
        <v>26</v>
      </c>
      <c r="C37" s="15"/>
      <c r="D37" s="15"/>
      <c r="E37" s="15">
        <f t="shared" si="2"/>
        <v>-45</v>
      </c>
      <c r="F37" s="15">
        <f t="shared" si="2"/>
        <v>-45</v>
      </c>
      <c r="G37" s="15">
        <f t="shared" si="2"/>
        <v>-45</v>
      </c>
      <c r="H37" s="15">
        <f t="shared" si="2"/>
        <v>-45</v>
      </c>
      <c r="I37" s="15">
        <f t="shared" si="2"/>
        <v>-45</v>
      </c>
    </row>
    <row r="38" spans="2:10" x14ac:dyDescent="0.3">
      <c r="B38" s="18" t="s">
        <v>27</v>
      </c>
      <c r="C38" s="16"/>
      <c r="D38" s="16">
        <f xml:space="preserve"> - ( NPV( RIGHT($B$6, 3), E13:$I$13) * (1 + RIGHT($B$6, 3) ) + NPV( RIGHT($B$6, 3), E15:$I$15) + NPV( RIGHT($B$6, 3), E16:$I$16) )</f>
        <v>-21.647383353154254</v>
      </c>
      <c r="E38" s="16">
        <f>D38 + SUM(E34:E37)</f>
        <v>982.2702474791879</v>
      </c>
      <c r="F38" s="16">
        <f t="shared" ref="F38:I38" si="3">E38 + SUM(F34:F37)</f>
        <v>986.38375985314724</v>
      </c>
      <c r="G38" s="16">
        <f t="shared" si="3"/>
        <v>990.7029478458046</v>
      </c>
      <c r="H38" s="16">
        <f t="shared" si="3"/>
        <v>995.23809523809484</v>
      </c>
      <c r="I38" s="16">
        <f t="shared" si="3"/>
        <v>0</v>
      </c>
    </row>
    <row r="39" spans="2:10" x14ac:dyDescent="0.3">
      <c r="B39" s="37"/>
      <c r="C39" s="38"/>
      <c r="D39" s="38"/>
      <c r="E39" s="38"/>
      <c r="F39" s="38"/>
      <c r="G39" s="38"/>
      <c r="H39" s="38"/>
      <c r="I39" s="38"/>
    </row>
    <row r="40" spans="2:10" x14ac:dyDescent="0.3">
      <c r="B40" s="3" t="s">
        <v>28</v>
      </c>
      <c r="C40" s="4" t="s">
        <v>59</v>
      </c>
      <c r="D40" s="11">
        <v>0</v>
      </c>
      <c r="E40" s="11">
        <v>1</v>
      </c>
      <c r="F40" s="11">
        <v>2</v>
      </c>
      <c r="G40" s="11">
        <v>3</v>
      </c>
      <c r="H40" s="11">
        <v>4</v>
      </c>
      <c r="I40" s="11">
        <v>5</v>
      </c>
    </row>
    <row r="41" spans="2:10" x14ac:dyDescent="0.3">
      <c r="B41" s="17" t="s">
        <v>25</v>
      </c>
      <c r="C41" s="15"/>
      <c r="D41" s="15"/>
      <c r="E41" s="15">
        <f xml:space="preserve"> D43 * RIGHT($B$6, 3)</f>
        <v>-1.0823691676577047</v>
      </c>
      <c r="F41" s="15">
        <f xml:space="preserve"> E43 * RIGHT($B$6, 3)</f>
        <v>-0.88648762604059006</v>
      </c>
      <c r="G41" s="15">
        <f xml:space="preserve"> F43 * RIGHT($B$6, 3)</f>
        <v>-0.6808120073426196</v>
      </c>
      <c r="H41" s="15">
        <f xml:space="preserve"> G43 * RIGHT($B$6, 3)</f>
        <v>-0.46485260770975056</v>
      </c>
      <c r="I41" s="15">
        <f xml:space="preserve"> H43 * RIGHT($B$6, 3)</f>
        <v>-0.23809523809523811</v>
      </c>
      <c r="J41" s="49"/>
    </row>
    <row r="42" spans="2:10" x14ac:dyDescent="0.3">
      <c r="B42" s="17" t="s">
        <v>29</v>
      </c>
      <c r="C42" s="15"/>
      <c r="D42" s="15"/>
      <c r="E42" s="15">
        <f xml:space="preserve"> -E17</f>
        <v>5</v>
      </c>
      <c r="F42" s="15">
        <f xml:space="preserve"> -F17</f>
        <v>5</v>
      </c>
      <c r="G42" s="15">
        <f xml:space="preserve"> -G17</f>
        <v>5</v>
      </c>
      <c r="H42" s="15">
        <f xml:space="preserve"> -H17</f>
        <v>5</v>
      </c>
      <c r="I42" s="15">
        <f xml:space="preserve"> -I17</f>
        <v>5</v>
      </c>
      <c r="J42" s="49"/>
    </row>
    <row r="43" spans="2:10" x14ac:dyDescent="0.3">
      <c r="B43" s="18" t="s">
        <v>27</v>
      </c>
      <c r="C43" s="16"/>
      <c r="D43" s="16">
        <f xml:space="preserve"> NPV( RIGHT($B$6, 3), E$17:$I$17)</f>
        <v>-21.647383353154094</v>
      </c>
      <c r="E43" s="16">
        <f>D43 + SUM(E41:E42)</f>
        <v>-17.7297525208118</v>
      </c>
      <c r="F43" s="16">
        <f>E43 + SUM(F41:F42)</f>
        <v>-13.616240146852391</v>
      </c>
      <c r="G43" s="16">
        <f>F43 + SUM(G41:G42)</f>
        <v>-9.2970521541950113</v>
      </c>
      <c r="H43" s="16">
        <f>G43 + SUM(H41:H42)</f>
        <v>-4.7619047619047619</v>
      </c>
      <c r="I43" s="16">
        <f>H43 + SUM(I41:I42)</f>
        <v>0</v>
      </c>
    </row>
    <row r="45" spans="2:10" x14ac:dyDescent="0.3">
      <c r="B45" s="3" t="s">
        <v>30</v>
      </c>
      <c r="C45" s="4" t="s">
        <v>59</v>
      </c>
      <c r="D45" s="11">
        <v>0</v>
      </c>
      <c r="E45" s="11">
        <v>1</v>
      </c>
      <c r="F45" s="11">
        <v>2</v>
      </c>
      <c r="G45" s="11">
        <v>3</v>
      </c>
      <c r="H45" s="11">
        <v>4</v>
      </c>
      <c r="I45" s="11">
        <v>5</v>
      </c>
    </row>
    <row r="46" spans="2:10" x14ac:dyDescent="0.3">
      <c r="B46" s="17" t="s">
        <v>25</v>
      </c>
      <c r="C46" s="15"/>
      <c r="D46" s="15"/>
      <c r="E46" s="15">
        <f xml:space="preserve"> D48 * RIGHT($B$6, 3)</f>
        <v>0.43294766706308191</v>
      </c>
      <c r="F46" s="15">
        <f xml:space="preserve"> E48 * RIGHT($B$6, 3)</f>
        <v>0.35459505041623601</v>
      </c>
      <c r="G46" s="15">
        <f xml:space="preserve"> F48 * RIGHT($B$6, 3)</f>
        <v>0.27232480293704781</v>
      </c>
      <c r="H46" s="15">
        <f xml:space="preserve"> G48 * RIGHT($B$6, 3)</f>
        <v>0.18594104308390019</v>
      </c>
      <c r="I46" s="15">
        <f xml:space="preserve"> H48 * RIGHT($B$6, 3)</f>
        <v>9.5238095238095191E-2</v>
      </c>
      <c r="J46" s="1"/>
    </row>
    <row r="47" spans="2:10" x14ac:dyDescent="0.3">
      <c r="B47" s="17" t="s">
        <v>29</v>
      </c>
      <c r="C47" s="15"/>
      <c r="D47" s="15"/>
      <c r="E47" s="15">
        <f xml:space="preserve"> -E20</f>
        <v>-2</v>
      </c>
      <c r="F47" s="15">
        <f xml:space="preserve"> -F20</f>
        <v>-2</v>
      </c>
      <c r="G47" s="15">
        <f xml:space="preserve"> -G20</f>
        <v>-2</v>
      </c>
      <c r="H47" s="15">
        <f xml:space="preserve"> -H20</f>
        <v>-2</v>
      </c>
      <c r="I47" s="15">
        <f xml:space="preserve"> -I20</f>
        <v>-2</v>
      </c>
    </row>
    <row r="48" spans="2:10" x14ac:dyDescent="0.3">
      <c r="B48" s="18" t="s">
        <v>27</v>
      </c>
      <c r="C48" s="16"/>
      <c r="D48" s="16">
        <f xml:space="preserve"> NPV( RIGHT($B$6, 3), E$20:$I$20)</f>
        <v>8.658953341261638</v>
      </c>
      <c r="E48" s="16">
        <f>D48 + SUM(E46:E47)</f>
        <v>7.0919010083247196</v>
      </c>
      <c r="F48" s="16">
        <f>E48 + SUM(F46:F47)</f>
        <v>5.4464960587409559</v>
      </c>
      <c r="G48" s="16">
        <f>F48 + SUM(G46:G47)</f>
        <v>3.7188208616780036</v>
      </c>
      <c r="H48" s="16">
        <f>G48 + SUM(H46:H47)</f>
        <v>1.9047619047619038</v>
      </c>
      <c r="I48" s="16">
        <f>H48 + SUM(I46:I47)</f>
        <v>0</v>
      </c>
    </row>
    <row r="49" spans="2:10" x14ac:dyDescent="0.3">
      <c r="E49" s="21"/>
    </row>
    <row r="50" spans="2:10" x14ac:dyDescent="0.3">
      <c r="B50" s="3" t="s">
        <v>31</v>
      </c>
      <c r="C50" s="4" t="s">
        <v>59</v>
      </c>
      <c r="D50" s="11">
        <v>0</v>
      </c>
      <c r="E50" s="11">
        <v>1</v>
      </c>
      <c r="F50" s="11">
        <v>2</v>
      </c>
      <c r="G50" s="11">
        <v>3</v>
      </c>
      <c r="H50" s="11">
        <v>4</v>
      </c>
      <c r="I50" s="11">
        <v>5</v>
      </c>
    </row>
    <row r="51" spans="2:10" x14ac:dyDescent="0.3">
      <c r="B51" s="17" t="s">
        <v>25</v>
      </c>
      <c r="C51" s="15"/>
      <c r="D51" s="15"/>
      <c r="E51" s="15">
        <f xml:space="preserve"> D53 * RIGHT($B$6, 3)</f>
        <v>0.21647383353154095</v>
      </c>
      <c r="F51" s="15">
        <f xml:space="preserve"> E53 * RIGHT($B$6, 3)</f>
        <v>0.17729752520811801</v>
      </c>
      <c r="G51" s="15">
        <f xml:space="preserve"> F53 * RIGHT($B$6, 3)</f>
        <v>0.1361624014685239</v>
      </c>
      <c r="H51" s="15">
        <f xml:space="preserve"> G53 * RIGHT($B$6, 3)</f>
        <v>9.2970521541950096E-2</v>
      </c>
      <c r="I51" s="15">
        <f xml:space="preserve"> H53 * RIGHT($B$6, 3)</f>
        <v>4.7619047619047596E-2</v>
      </c>
      <c r="J51" s="49"/>
    </row>
    <row r="52" spans="2:10" x14ac:dyDescent="0.3">
      <c r="B52" s="17" t="s">
        <v>29</v>
      </c>
      <c r="C52" s="15"/>
      <c r="D52" s="15"/>
      <c r="E52" s="15">
        <f xml:space="preserve"> -E21</f>
        <v>-1</v>
      </c>
      <c r="F52" s="15">
        <f xml:space="preserve"> -F21</f>
        <v>-1</v>
      </c>
      <c r="G52" s="15">
        <f xml:space="preserve"> -G21</f>
        <v>-1</v>
      </c>
      <c r="H52" s="15">
        <f xml:space="preserve"> -H21</f>
        <v>-1</v>
      </c>
      <c r="I52" s="15">
        <f xml:space="preserve"> -I21</f>
        <v>-1</v>
      </c>
      <c r="J52" s="49"/>
    </row>
    <row r="53" spans="2:10" x14ac:dyDescent="0.3">
      <c r="B53" s="18" t="s">
        <v>27</v>
      </c>
      <c r="C53" s="16"/>
      <c r="D53" s="16">
        <f xml:space="preserve"> NPV( RIGHT($B$6, 3), E$21:$I$21)</f>
        <v>4.329476670630819</v>
      </c>
      <c r="E53" s="16">
        <f>D53 + SUM(E51:E52)</f>
        <v>3.5459505041623598</v>
      </c>
      <c r="F53" s="16">
        <f>E53 + SUM(F51:F52)</f>
        <v>2.7232480293704779</v>
      </c>
      <c r="G53" s="16">
        <f>F53 + SUM(G51:G52)</f>
        <v>1.8594104308390018</v>
      </c>
      <c r="H53" s="16">
        <f>G53 + SUM(H51:H52)</f>
        <v>0.95238095238095188</v>
      </c>
      <c r="I53" s="16">
        <f>H53 + SUM(I51:I52)</f>
        <v>0</v>
      </c>
    </row>
    <row r="55" spans="2:10" x14ac:dyDescent="0.3">
      <c r="B55" s="20" t="s">
        <v>32</v>
      </c>
      <c r="C55" s="4" t="s">
        <v>59</v>
      </c>
      <c r="D55" s="11">
        <v>0</v>
      </c>
      <c r="E55" s="11">
        <v>1</v>
      </c>
      <c r="F55" s="11">
        <v>2</v>
      </c>
      <c r="G55" s="11">
        <v>3</v>
      </c>
      <c r="H55" s="11">
        <v>4</v>
      </c>
      <c r="I55" s="11">
        <v>5</v>
      </c>
    </row>
    <row r="56" spans="2:10" x14ac:dyDescent="0.3">
      <c r="B56" s="17" t="s">
        <v>33</v>
      </c>
      <c r="C56" s="36"/>
      <c r="D56" s="36"/>
      <c r="E56" s="15">
        <f xml:space="preserve">  -( (E43 - D43) - E42)</f>
        <v>1.0823691676577063</v>
      </c>
      <c r="F56" s="15">
        <f xml:space="preserve">  -( (F43 - E43) -  F42)</f>
        <v>0.88648762604059073</v>
      </c>
      <c r="G56" s="15">
        <f xml:space="preserve">  -( (G43 - F43) -  G42)</f>
        <v>0.68081200734262026</v>
      </c>
      <c r="H56" s="15">
        <f xml:space="preserve">  -( (H43 - G43) -  H42)</f>
        <v>0.46485260770975056</v>
      </c>
      <c r="I56" s="15">
        <f xml:space="preserve">  -( (I43 - H43) -  I42)</f>
        <v>0.23809523809523814</v>
      </c>
      <c r="J56" s="1" t="s">
        <v>68</v>
      </c>
    </row>
    <row r="57" spans="2:10" x14ac:dyDescent="0.3">
      <c r="B57" s="17" t="s">
        <v>34</v>
      </c>
      <c r="C57" s="15"/>
      <c r="D57" s="15"/>
      <c r="E57" s="15">
        <f xml:space="preserve"> -E46</f>
        <v>-0.43294766706308191</v>
      </c>
      <c r="F57" s="15">
        <f xml:space="preserve"> -F46</f>
        <v>-0.35459505041623601</v>
      </c>
      <c r="G57" s="15">
        <f xml:space="preserve"> -G46</f>
        <v>-0.27232480293704781</v>
      </c>
      <c r="H57" s="15">
        <f xml:space="preserve"> -H46</f>
        <v>-0.18594104308390019</v>
      </c>
      <c r="I57" s="15">
        <f xml:space="preserve"> -I46</f>
        <v>-9.5238095238095191E-2</v>
      </c>
      <c r="J57" s="1" t="s">
        <v>53</v>
      </c>
    </row>
    <row r="58" spans="2:10" ht="28.8" x14ac:dyDescent="0.3">
      <c r="B58" s="47" t="s">
        <v>35</v>
      </c>
      <c r="C58" s="15"/>
      <c r="D58" s="15"/>
      <c r="E58" s="46">
        <f xml:space="preserve"> -(E53 - D53)</f>
        <v>0.78352616646845918</v>
      </c>
      <c r="F58" s="46">
        <f xml:space="preserve"> -(F53 - E53)</f>
        <v>0.82270247479188185</v>
      </c>
      <c r="G58" s="46">
        <f xml:space="preserve"> -(G53 - F53)</f>
        <v>0.86383759853147613</v>
      </c>
      <c r="H58" s="46">
        <f xml:space="preserve"> -(H53 - G53)</f>
        <v>0.90702947845804993</v>
      </c>
      <c r="I58" s="46">
        <f xml:space="preserve"> -(I53 - H53)</f>
        <v>0.95238095238095188</v>
      </c>
      <c r="J58" s="45" t="s">
        <v>75</v>
      </c>
    </row>
    <row r="59" spans="2:10" x14ac:dyDescent="0.3">
      <c r="B59" s="17" t="s">
        <v>36</v>
      </c>
      <c r="C59" s="15"/>
      <c r="D59" s="15"/>
      <c r="E59" s="28">
        <f xml:space="preserve"> -20%* (D60 + SUM(E56:E58) )</f>
        <v>-2.0183802016649763</v>
      </c>
      <c r="F59" s="28">
        <f xml:space="preserve"> -40%* (E60 + SUM(F56:F58) )</f>
        <v>-3.7712463428304561</v>
      </c>
      <c r="G59" s="28">
        <f xml:space="preserve"> -60%* (F60 + SUM(G56:G58) )</f>
        <v>-4.1575165903096396</v>
      </c>
      <c r="H59" s="28">
        <f xml:space="preserve"> -80%* (G60 + SUM(H56:H58) )</f>
        <v>-3.1660950159655949</v>
      </c>
      <c r="I59" s="28">
        <f xml:space="preserve"> -100%* (H60 + SUM(I56:I58) )</f>
        <v>-1.8867618492294931</v>
      </c>
      <c r="J59" s="1" t="s">
        <v>69</v>
      </c>
    </row>
    <row r="60" spans="2:10" x14ac:dyDescent="0.3">
      <c r="B60" s="18" t="s">
        <v>27</v>
      </c>
      <c r="C60" s="16"/>
      <c r="D60" s="16">
        <f xml:space="preserve"> D28</f>
        <v>8.6589533412617961</v>
      </c>
      <c r="E60" s="16">
        <f xml:space="preserve"> D60 + SUM(E56:E59)</f>
        <v>8.0735208066599036</v>
      </c>
      <c r="F60" s="16">
        <f xml:space="preserve"> E60 + SUM(F56:F59)</f>
        <v>5.6568695142456837</v>
      </c>
      <c r="G60" s="16">
        <f xml:space="preserve"> F60 + SUM(G56:G59)</f>
        <v>2.7716777268730928</v>
      </c>
      <c r="H60" s="16">
        <f xml:space="preserve"> G60 + SUM(H56:H59)</f>
        <v>0.79152375399139818</v>
      </c>
      <c r="I60" s="16">
        <f xml:space="preserve"> H60 + SUM(I56:I59)</f>
        <v>0</v>
      </c>
    </row>
    <row r="61" spans="2:10" x14ac:dyDescent="0.3">
      <c r="E61" s="21"/>
      <c r="F61" s="21"/>
      <c r="G61" s="21"/>
      <c r="H61" s="21"/>
      <c r="I61" s="21"/>
    </row>
    <row r="63" spans="2:10" x14ac:dyDescent="0.3">
      <c r="B63" s="20" t="s">
        <v>37</v>
      </c>
      <c r="C63" s="4" t="s">
        <v>59</v>
      </c>
      <c r="D63" s="11">
        <v>0</v>
      </c>
      <c r="E63" s="11">
        <v>1</v>
      </c>
      <c r="F63" s="11">
        <v>2</v>
      </c>
      <c r="G63" s="11">
        <v>3</v>
      </c>
      <c r="H63" s="11">
        <v>4</v>
      </c>
      <c r="I63" s="11">
        <v>5</v>
      </c>
    </row>
    <row r="64" spans="2:10" x14ac:dyDescent="0.3">
      <c r="B64" s="22" t="s">
        <v>38</v>
      </c>
      <c r="C64" s="15"/>
      <c r="D64" s="15"/>
      <c r="E64" s="15">
        <f>-E47</f>
        <v>2</v>
      </c>
      <c r="F64" s="15">
        <f>-F47</f>
        <v>2</v>
      </c>
      <c r="G64" s="15">
        <f>-G47</f>
        <v>2</v>
      </c>
      <c r="H64" s="15">
        <f>-H47</f>
        <v>2</v>
      </c>
      <c r="I64" s="15">
        <f>-I47</f>
        <v>2</v>
      </c>
      <c r="J64" s="1" t="s">
        <v>52</v>
      </c>
    </row>
    <row r="65" spans="2:10" x14ac:dyDescent="0.3">
      <c r="B65" s="23" t="s">
        <v>39</v>
      </c>
      <c r="C65" s="15"/>
      <c r="D65" s="15"/>
      <c r="E65" s="15">
        <f>-E59</f>
        <v>2.0183802016649763</v>
      </c>
      <c r="F65" s="15">
        <f>-F59</f>
        <v>3.7712463428304561</v>
      </c>
      <c r="G65" s="15">
        <f>-G59</f>
        <v>4.1575165903096396</v>
      </c>
      <c r="H65" s="15">
        <f>-H59</f>
        <v>3.1660950159655949</v>
      </c>
      <c r="I65" s="15">
        <f>-I59</f>
        <v>1.8867618492294931</v>
      </c>
    </row>
    <row r="66" spans="2:10" x14ac:dyDescent="0.3">
      <c r="B66" s="32" t="s">
        <v>67</v>
      </c>
      <c r="C66" s="16"/>
      <c r="D66" s="16"/>
      <c r="E66" s="29">
        <f>SUM(E64:E65)</f>
        <v>4.0183802016649768</v>
      </c>
      <c r="F66" s="16">
        <f>SUM(F64:F65)</f>
        <v>5.7712463428304561</v>
      </c>
      <c r="G66" s="16">
        <f>SUM(G64:G65)</f>
        <v>6.1575165903096396</v>
      </c>
      <c r="H66" s="16">
        <f>SUM(H64:H65)</f>
        <v>5.1660950159655954</v>
      </c>
      <c r="I66" s="16">
        <f>SUM(I64:I65)</f>
        <v>3.8867618492294929</v>
      </c>
    </row>
    <row r="67" spans="2:10" ht="9" customHeight="1" x14ac:dyDescent="0.3">
      <c r="B67" s="24"/>
      <c r="C67" s="15"/>
      <c r="D67" s="15"/>
      <c r="E67" s="15"/>
      <c r="F67" s="15"/>
      <c r="G67" s="15"/>
      <c r="H67" s="15"/>
      <c r="I67" s="15"/>
    </row>
    <row r="68" spans="2:10" x14ac:dyDescent="0.3">
      <c r="B68" s="27" t="s">
        <v>40</v>
      </c>
      <c r="C68" s="15"/>
      <c r="D68" s="15"/>
      <c r="E68" s="15">
        <f xml:space="preserve"> E14</f>
        <v>50</v>
      </c>
      <c r="F68" s="15">
        <f xml:space="preserve"> F14</f>
        <v>50</v>
      </c>
      <c r="G68" s="15">
        <f xml:space="preserve"> G14</f>
        <v>50</v>
      </c>
      <c r="H68" s="15">
        <f xml:space="preserve"> H14</f>
        <v>50</v>
      </c>
      <c r="I68" s="15">
        <f xml:space="preserve"> I14</f>
        <v>50</v>
      </c>
    </row>
    <row r="69" spans="2:10" x14ac:dyDescent="0.3">
      <c r="B69" s="33" t="s">
        <v>61</v>
      </c>
      <c r="C69" s="16"/>
      <c r="D69" s="16"/>
      <c r="E69" s="29">
        <f>SUM(E68)</f>
        <v>50</v>
      </c>
      <c r="F69" s="29">
        <f>SUM(F68)</f>
        <v>50</v>
      </c>
      <c r="G69" s="29">
        <f>SUM(G68)</f>
        <v>50</v>
      </c>
      <c r="H69" s="29">
        <f>SUM(H68)</f>
        <v>50</v>
      </c>
      <c r="I69" s="29">
        <f>SUM(I68)</f>
        <v>50</v>
      </c>
    </row>
    <row r="70" spans="2:10" ht="6.75" customHeight="1" x14ac:dyDescent="0.3">
      <c r="B70" s="26"/>
      <c r="C70" s="15"/>
      <c r="D70" s="15"/>
      <c r="E70" s="15"/>
      <c r="F70" s="15"/>
      <c r="G70" s="15"/>
      <c r="H70" s="15"/>
      <c r="I70" s="15"/>
    </row>
    <row r="71" spans="2:10" x14ac:dyDescent="0.3">
      <c r="B71" s="27" t="s">
        <v>62</v>
      </c>
      <c r="C71" s="15"/>
      <c r="D71" s="15"/>
      <c r="E71" s="15">
        <f xml:space="preserve"> - ( (E25 - D25) - (E13 + SUM(E15:E16) ) ) - (E14 - E35)</f>
        <v>-50.000000000000121</v>
      </c>
      <c r="F71" s="15">
        <f xml:space="preserve"> - ( (F25 - E25) - (F13 + SUM(F15:F16) ) ) - (F14 - F35)</f>
        <v>-50.000000000000057</v>
      </c>
      <c r="G71" s="15">
        <f xml:space="preserve"> - ( (G25 - F25) - (G13 + SUM(G15:G16) ) ) - (G14 - G35)</f>
        <v>-49.999999999999886</v>
      </c>
      <c r="H71" s="15">
        <f xml:space="preserve"> - ( (H25 - G25) - (H13 + SUM(H15:H16) ) ) - (H14 - H35)</f>
        <v>-50.000000000000121</v>
      </c>
      <c r="I71" s="15">
        <f xml:space="preserve"> - ( (I25 - H25) - (I13 + SUM(I15:I16) ) ) - (I14 - I35)</f>
        <v>-50.000000000000071</v>
      </c>
      <c r="J71" s="1" t="s">
        <v>70</v>
      </c>
    </row>
    <row r="72" spans="2:10" x14ac:dyDescent="0.3">
      <c r="B72" s="25" t="s">
        <v>76</v>
      </c>
      <c r="C72" s="15"/>
      <c r="D72" s="15"/>
      <c r="E72" s="15">
        <v>0</v>
      </c>
      <c r="F72" s="15">
        <v>0</v>
      </c>
      <c r="G72" s="15">
        <v>0</v>
      </c>
      <c r="H72" s="15">
        <v>0</v>
      </c>
      <c r="I72" s="15">
        <v>0</v>
      </c>
    </row>
    <row r="73" spans="2:10" x14ac:dyDescent="0.3">
      <c r="B73" s="34" t="s">
        <v>54</v>
      </c>
      <c r="C73" s="16"/>
      <c r="D73" s="16"/>
      <c r="E73" s="16">
        <f>SUM(E71:E72)</f>
        <v>-50.000000000000121</v>
      </c>
      <c r="F73" s="16">
        <f>SUM(F71:F72)</f>
        <v>-50.000000000000057</v>
      </c>
      <c r="G73" s="16">
        <f>SUM(G71:G72)</f>
        <v>-49.999999999999886</v>
      </c>
      <c r="H73" s="16">
        <f>SUM(H71:H72)</f>
        <v>-50.000000000000121</v>
      </c>
      <c r="I73" s="16">
        <f>SUM(I71:I72)</f>
        <v>-50.000000000000071</v>
      </c>
    </row>
    <row r="74" spans="2:10" x14ac:dyDescent="0.3">
      <c r="B74" s="32" t="s">
        <v>41</v>
      </c>
      <c r="C74" s="16"/>
      <c r="D74" s="16"/>
      <c r="E74" s="16">
        <f xml:space="preserve"> E69 + E73</f>
        <v>-1.2079226507921703E-13</v>
      </c>
      <c r="F74" s="16">
        <f xml:space="preserve"> F69 + F73</f>
        <v>-5.6843418860808015E-14</v>
      </c>
      <c r="G74" s="16">
        <f xml:space="preserve"> G69 + G73</f>
        <v>1.1368683772161603E-13</v>
      </c>
      <c r="H74" s="16">
        <f xml:space="preserve"> H69 + H73</f>
        <v>-1.2079226507921703E-13</v>
      </c>
      <c r="I74" s="16">
        <f xml:space="preserve"> I69 + I73</f>
        <v>-7.1054273576010019E-14</v>
      </c>
      <c r="J74" s="1" t="s">
        <v>55</v>
      </c>
    </row>
    <row r="75" spans="2:10" ht="9" customHeight="1" x14ac:dyDescent="0.3">
      <c r="B75" s="30"/>
      <c r="C75" s="15"/>
      <c r="D75" s="15"/>
      <c r="E75" s="15"/>
      <c r="F75" s="15"/>
      <c r="G75" s="15"/>
      <c r="H75" s="15"/>
      <c r="I75" s="15"/>
    </row>
    <row r="76" spans="2:10" x14ac:dyDescent="0.3">
      <c r="B76" s="13" t="s">
        <v>42</v>
      </c>
      <c r="C76" s="16"/>
      <c r="D76" s="16"/>
      <c r="E76" s="16">
        <f xml:space="preserve"> E66 + E74</f>
        <v>4.018380201664856</v>
      </c>
      <c r="F76" s="16">
        <f xml:space="preserve"> F66 + F74</f>
        <v>5.7712463428303993</v>
      </c>
      <c r="G76" s="16">
        <f xml:space="preserve"> G66 + G74</f>
        <v>6.1575165903097533</v>
      </c>
      <c r="H76" s="16">
        <f xml:space="preserve"> H66 + H74</f>
        <v>5.1660950159654746</v>
      </c>
      <c r="I76" s="16">
        <f xml:space="preserve"> I66 + I74</f>
        <v>3.8867618492294218</v>
      </c>
      <c r="J76" s="1"/>
    </row>
    <row r="77" spans="2:10" ht="9" customHeight="1" x14ac:dyDescent="0.3">
      <c r="B77" s="35"/>
      <c r="C77" s="35"/>
      <c r="D77" s="35"/>
      <c r="E77" s="42"/>
      <c r="F77" s="42"/>
      <c r="G77" s="42"/>
      <c r="H77" s="42"/>
      <c r="I77" s="42"/>
    </row>
    <row r="78" spans="2:10" x14ac:dyDescent="0.3">
      <c r="B78" s="13" t="s">
        <v>43</v>
      </c>
      <c r="C78" s="31"/>
      <c r="D78" s="31"/>
      <c r="E78" s="16">
        <f xml:space="preserve"> -E17</f>
        <v>5</v>
      </c>
      <c r="F78" s="16">
        <f xml:space="preserve"> -F17</f>
        <v>5</v>
      </c>
      <c r="G78" s="16">
        <f xml:space="preserve"> -G17</f>
        <v>5</v>
      </c>
      <c r="H78" s="16">
        <f xml:space="preserve"> -H17</f>
        <v>5</v>
      </c>
      <c r="I78" s="16">
        <f xml:space="preserve"> -I17</f>
        <v>5</v>
      </c>
      <c r="J78" s="41"/>
    </row>
    <row r="79" spans="2:10" ht="9" customHeight="1" x14ac:dyDescent="0.3">
      <c r="B79" s="13"/>
      <c r="C79" s="15"/>
      <c r="D79" s="15"/>
      <c r="E79" s="15"/>
      <c r="F79" s="15"/>
      <c r="G79" s="15"/>
      <c r="H79" s="15"/>
      <c r="I79" s="15"/>
    </row>
    <row r="80" spans="2:10" x14ac:dyDescent="0.3">
      <c r="B80" s="13" t="s">
        <v>85</v>
      </c>
      <c r="C80" s="16"/>
      <c r="D80" s="16"/>
      <c r="E80" s="16">
        <f xml:space="preserve"> E76 - E78</f>
        <v>-0.98161979833514401</v>
      </c>
      <c r="F80" s="16">
        <f xml:space="preserve"> F76 - F78</f>
        <v>0.77124634283039928</v>
      </c>
      <c r="G80" s="16">
        <f xml:space="preserve"> G76 - G78</f>
        <v>1.1575165903097533</v>
      </c>
      <c r="H80" s="16">
        <f xml:space="preserve"> H76 - H78</f>
        <v>0.1660950159654746</v>
      </c>
      <c r="I80" s="16">
        <f xml:space="preserve"> I76 - I78</f>
        <v>-1.1132381507705782</v>
      </c>
    </row>
    <row r="82" spans="9:9" x14ac:dyDescent="0.3">
      <c r="I82" s="19"/>
    </row>
    <row r="83" spans="9:9" x14ac:dyDescent="0.3">
      <c r="I83" s="21"/>
    </row>
  </sheetData>
  <mergeCells count="2">
    <mergeCell ref="J41:J42"/>
    <mergeCell ref="J51:J52"/>
  </mergeCells>
  <pageMargins left="0.7" right="0.7" top="0.75" bottom="0.75" header="0.3" footer="0.3"/>
  <pageSetup scale="6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3CDE5-48C2-4325-9ED9-0A7E10956165}">
  <sheetPr>
    <tabColor theme="5" tint="-0.499984740745262"/>
    <pageSetUpPr fitToPage="1"/>
  </sheetPr>
  <dimension ref="A1:J80"/>
  <sheetViews>
    <sheetView view="pageLayout" zoomScaleNormal="100" workbookViewId="0">
      <selection activeCell="F70" sqref="F70"/>
    </sheetView>
  </sheetViews>
  <sheetFormatPr defaultColWidth="9.21875" defaultRowHeight="14.4" x14ac:dyDescent="0.3"/>
  <cols>
    <col min="1" max="1" width="5.77734375" customWidth="1"/>
    <col min="2" max="2" width="34.21875" customWidth="1"/>
    <col min="3" max="3" width="6.21875" customWidth="1"/>
    <col min="4" max="9" width="10.44140625" customWidth="1"/>
    <col min="10" max="10" width="124.21875" customWidth="1"/>
  </cols>
  <sheetData>
    <row r="1" spans="1:10" x14ac:dyDescent="0.3">
      <c r="A1" s="2" t="s">
        <v>56</v>
      </c>
    </row>
    <row r="3" spans="1:10" x14ac:dyDescent="0.3">
      <c r="A3" s="2" t="s">
        <v>2</v>
      </c>
    </row>
    <row r="4" spans="1:10" x14ac:dyDescent="0.3">
      <c r="B4" t="s">
        <v>79</v>
      </c>
    </row>
    <row r="5" spans="1:10" x14ac:dyDescent="0.3">
      <c r="B5" t="s">
        <v>80</v>
      </c>
    </row>
    <row r="6" spans="1:10" x14ac:dyDescent="0.3">
      <c r="B6" t="s">
        <v>4</v>
      </c>
    </row>
    <row r="7" spans="1:10" x14ac:dyDescent="0.3">
      <c r="B7" t="s">
        <v>5</v>
      </c>
    </row>
    <row r="8" spans="1:10" x14ac:dyDescent="0.3">
      <c r="B8" t="s">
        <v>3</v>
      </c>
    </row>
    <row r="9" spans="1:10" x14ac:dyDescent="0.3">
      <c r="B9" t="s">
        <v>6</v>
      </c>
    </row>
    <row r="10" spans="1:10" x14ac:dyDescent="0.3">
      <c r="B10" t="s">
        <v>7</v>
      </c>
    </row>
    <row r="11" spans="1:10" x14ac:dyDescent="0.3">
      <c r="B11" t="s">
        <v>77</v>
      </c>
    </row>
    <row r="13" spans="1:10" x14ac:dyDescent="0.3">
      <c r="B13" s="4" t="s">
        <v>8</v>
      </c>
      <c r="C13" s="4" t="s">
        <v>59</v>
      </c>
      <c r="D13" s="11">
        <v>0</v>
      </c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11" t="s">
        <v>9</v>
      </c>
    </row>
    <row r="14" spans="1:10" x14ac:dyDescent="0.3">
      <c r="B14" s="6" t="s">
        <v>10</v>
      </c>
      <c r="C14" s="6"/>
      <c r="D14" s="6"/>
      <c r="E14" s="10">
        <v>1000</v>
      </c>
      <c r="F14" s="10">
        <v>0</v>
      </c>
      <c r="G14" s="10">
        <v>0</v>
      </c>
      <c r="H14" s="10">
        <v>0</v>
      </c>
      <c r="I14" s="10">
        <v>0</v>
      </c>
      <c r="J14" s="1" t="s">
        <v>81</v>
      </c>
    </row>
    <row r="15" spans="1:10" x14ac:dyDescent="0.3">
      <c r="B15" s="6" t="s">
        <v>11</v>
      </c>
      <c r="C15" s="6"/>
      <c r="D15" s="6"/>
      <c r="E15" s="7">
        <f xml:space="preserve"> (D19 + E14) * RIGHT($B$6, 3)</f>
        <v>50</v>
      </c>
      <c r="F15" s="7">
        <f xml:space="preserve"> (E19 + F14) * RIGHT($B$6, 3)</f>
        <v>50</v>
      </c>
      <c r="G15" s="7">
        <f xml:space="preserve"> (F19 + G14) * RIGHT($B$6, 3)</f>
        <v>50</v>
      </c>
      <c r="H15" s="7">
        <f xml:space="preserve"> (G19 + H14) * RIGHT($B$6, 3)</f>
        <v>50</v>
      </c>
      <c r="I15" s="7">
        <f xml:space="preserve"> (H19 + I14) * RIGHT($B$6, 3)</f>
        <v>50</v>
      </c>
      <c r="J15" s="1" t="s">
        <v>44</v>
      </c>
    </row>
    <row r="16" spans="1:10" x14ac:dyDescent="0.3">
      <c r="B16" s="6" t="s">
        <v>64</v>
      </c>
      <c r="C16" s="6"/>
      <c r="D16" s="6"/>
      <c r="E16" s="10">
        <v>0</v>
      </c>
      <c r="F16" s="10">
        <v>0</v>
      </c>
      <c r="G16" s="10">
        <v>0</v>
      </c>
      <c r="H16" s="10">
        <v>0</v>
      </c>
      <c r="I16" s="10">
        <v>-1000</v>
      </c>
      <c r="J16" s="1" t="s">
        <v>82</v>
      </c>
    </row>
    <row r="17" spans="1:10" x14ac:dyDescent="0.3">
      <c r="B17" s="6" t="s">
        <v>12</v>
      </c>
      <c r="C17" s="6"/>
      <c r="D17" s="6"/>
      <c r="E17" s="7">
        <f xml:space="preserve"> - E$15 * (1 - RIGHT($B$7, 4) )</f>
        <v>-45</v>
      </c>
      <c r="F17" s="7">
        <f xml:space="preserve"> - F$15 * (1 - RIGHT($B$7, 4) )</f>
        <v>-45</v>
      </c>
      <c r="G17" s="7">
        <f xml:space="preserve"> - G$15 * (1 - RIGHT($B$7, 4) )</f>
        <v>-45</v>
      </c>
      <c r="H17" s="7">
        <f xml:space="preserve"> - H$15 * (1 - RIGHT($B$7, 4) )</f>
        <v>-45</v>
      </c>
      <c r="I17" s="7">
        <f xml:space="preserve"> - I$15 * (1 - RIGHT($B$7, 4) )</f>
        <v>-45</v>
      </c>
      <c r="J17" s="1" t="s">
        <v>45</v>
      </c>
    </row>
    <row r="18" spans="1:10" x14ac:dyDescent="0.3">
      <c r="B18" s="6" t="s">
        <v>13</v>
      </c>
      <c r="C18" s="6"/>
      <c r="D18" s="6"/>
      <c r="E18" s="7">
        <f xml:space="preserve"> - E$15 * RIGHT($B$7, 4)</f>
        <v>-5</v>
      </c>
      <c r="F18" s="7">
        <f xml:space="preserve"> - F$15 * RIGHT($B$7, 4)</f>
        <v>-5</v>
      </c>
      <c r="G18" s="7">
        <f xml:space="preserve"> - G$15 * RIGHT($B$7, 4)</f>
        <v>-5</v>
      </c>
      <c r="H18" s="7">
        <f xml:space="preserve"> - H$15 * RIGHT($B$7, 4)</f>
        <v>-5</v>
      </c>
      <c r="I18" s="7">
        <f xml:space="preserve"> - I$15 * RIGHT($B$7, 4)</f>
        <v>-5</v>
      </c>
      <c r="J18" s="1" t="s">
        <v>46</v>
      </c>
    </row>
    <row r="19" spans="1:10" x14ac:dyDescent="0.3">
      <c r="B19" s="8" t="s">
        <v>14</v>
      </c>
      <c r="C19" s="8"/>
      <c r="D19" s="9">
        <v>0</v>
      </c>
      <c r="E19" s="9">
        <f>SUM(E14:E18)</f>
        <v>1000</v>
      </c>
      <c r="F19" s="9">
        <f>E19 + SUM(F14:F18)</f>
        <v>1000</v>
      </c>
      <c r="G19" s="9">
        <f>F19 + SUM(G14:G18)</f>
        <v>1000</v>
      </c>
      <c r="H19" s="9">
        <f>G19 + SUM(H14:H18)</f>
        <v>1000</v>
      </c>
      <c r="I19" s="9">
        <f>H19 + SUM(I14:I18)</f>
        <v>0</v>
      </c>
    </row>
    <row r="21" spans="1:10" x14ac:dyDescent="0.3">
      <c r="B21" s="14" t="s">
        <v>15</v>
      </c>
      <c r="E21" s="10">
        <v>2</v>
      </c>
      <c r="F21" s="10">
        <v>2</v>
      </c>
      <c r="G21" s="10">
        <v>2</v>
      </c>
      <c r="H21" s="10">
        <v>2</v>
      </c>
      <c r="I21" s="10">
        <v>2</v>
      </c>
      <c r="J21" s="1" t="s">
        <v>83</v>
      </c>
    </row>
    <row r="22" spans="1:10" x14ac:dyDescent="0.3">
      <c r="B22" s="14" t="s">
        <v>16</v>
      </c>
      <c r="E22" s="10">
        <v>1</v>
      </c>
      <c r="F22" s="10">
        <v>1</v>
      </c>
      <c r="G22" s="10">
        <v>1</v>
      </c>
      <c r="H22" s="10">
        <v>1</v>
      </c>
      <c r="I22" s="10">
        <v>1</v>
      </c>
      <c r="J22" s="1" t="s">
        <v>84</v>
      </c>
    </row>
    <row r="24" spans="1:10" x14ac:dyDescent="0.3">
      <c r="B24" s="3" t="s">
        <v>17</v>
      </c>
      <c r="C24" s="4" t="s">
        <v>59</v>
      </c>
      <c r="D24" s="11">
        <v>0</v>
      </c>
      <c r="E24" s="11">
        <v>1</v>
      </c>
      <c r="F24" s="11">
        <v>2</v>
      </c>
      <c r="G24" s="11">
        <v>3</v>
      </c>
      <c r="H24" s="11">
        <v>4</v>
      </c>
      <c r="I24" s="11">
        <v>5</v>
      </c>
    </row>
    <row r="25" spans="1:10" x14ac:dyDescent="0.3">
      <c r="B25" s="5"/>
      <c r="C25" s="5"/>
      <c r="D25" s="5"/>
    </row>
    <row r="26" spans="1:10" x14ac:dyDescent="0.3">
      <c r="B26" s="12" t="s">
        <v>18</v>
      </c>
      <c r="C26" s="6"/>
      <c r="D26" s="15">
        <f xml:space="preserve"> - ( NPV( RIGHT($B$6, 3), E14:$I$14) * (1 + RIGHT($B$6, 3) ) + NPV( RIGHT($B$6, 3), E16:$I$16) + NPV( RIGHT($B$6, 3), E17:$I$17) )</f>
        <v>-21.647383353154254</v>
      </c>
      <c r="E26" s="15">
        <f xml:space="preserve"> - ( NPV( RIGHT($B$6, 3), F14:$I$14) * (1 + RIGHT($B$6, 3) ) + NPV( RIGHT($B$6, 3), F16:$I$16) + NPV( RIGHT($B$6, 3), F17:$I$17) )</f>
        <v>982.27024747918813</v>
      </c>
      <c r="F26" s="15">
        <f xml:space="preserve"> - ( NPV( RIGHT($B$6, 3), G14:$I$14) * (1 + RIGHT($B$6, 3) ) + NPV( RIGHT($B$6, 3), G16:$I$16) + NPV( RIGHT($B$6, 3), G17:$I$17) )</f>
        <v>986.38375985314758</v>
      </c>
      <c r="G26" s="15">
        <f xml:space="preserve"> - ( NPV( RIGHT($B$6, 3), H14:$I$14) * (1 + RIGHT($B$6, 3) ) + NPV( RIGHT($B$6, 3), H16:$I$16) + NPV( RIGHT($B$6, 3), H17:$I$17) )</f>
        <v>990.70294784580483</v>
      </c>
      <c r="H26" s="15">
        <f xml:space="preserve"> - ( NPV( RIGHT($B$6, 3), I14:$I$14) * (1 + RIGHT($B$6, 3) ) + NPV( RIGHT($B$6, 3), I16:$I$16) + NPV( RIGHT($B$6, 3), I17:$I$17) )</f>
        <v>995.23809523809518</v>
      </c>
      <c r="I26" s="15"/>
      <c r="J26" s="1" t="s">
        <v>71</v>
      </c>
    </row>
    <row r="27" spans="1:10" x14ac:dyDescent="0.3">
      <c r="A27" s="43"/>
      <c r="B27" s="12" t="s">
        <v>19</v>
      </c>
      <c r="C27" s="6"/>
      <c r="D27" s="15">
        <f xml:space="preserve"> NPV( RIGHT($B$6, 3), E$21:$I$21)</f>
        <v>8.658953341261638</v>
      </c>
      <c r="E27" s="15">
        <f xml:space="preserve"> NPV( RIGHT($B$6, 3), F$21:$I$21)</f>
        <v>7.0919010083247205</v>
      </c>
      <c r="F27" s="15">
        <f xml:space="preserve"> NPV( RIGHT($B$6, 3), G$21:$I$21)</f>
        <v>5.4464960587409568</v>
      </c>
      <c r="G27" s="15">
        <f xml:space="preserve"> NPV( RIGHT($B$6, 3), H$21:$I$21)</f>
        <v>3.7188208616780041</v>
      </c>
      <c r="H27" s="15">
        <f xml:space="preserve"> NPV( RIGHT($B$6, 3), I$21:$I$21)</f>
        <v>1.9047619047619047</v>
      </c>
      <c r="I27" s="15"/>
      <c r="J27" s="1" t="s">
        <v>48</v>
      </c>
    </row>
    <row r="28" spans="1:10" x14ac:dyDescent="0.3">
      <c r="A28" s="43"/>
      <c r="B28" s="12" t="s">
        <v>20</v>
      </c>
      <c r="C28" s="6"/>
      <c r="D28" s="15">
        <f xml:space="preserve"> NPV( RIGHT($B$6, 3), E$22:$I$22)</f>
        <v>4.329476670630819</v>
      </c>
      <c r="E28" s="15">
        <f xml:space="preserve"> NPV( RIGHT($B$6, 3), F$22:$I$22)</f>
        <v>3.5459505041623602</v>
      </c>
      <c r="F28" s="15">
        <f xml:space="preserve"> NPV( RIGHT($B$6, 3), G$22:$I$22)</f>
        <v>2.7232480293704784</v>
      </c>
      <c r="G28" s="15">
        <f xml:space="preserve"> NPV( RIGHT($B$6, 3), H$22:$I$22)</f>
        <v>1.859410430839002</v>
      </c>
      <c r="H28" s="15">
        <f xml:space="preserve"> NPV( RIGHT($B$6, 3), I$22:$I$22)</f>
        <v>0.95238095238095233</v>
      </c>
      <c r="I28" s="15"/>
      <c r="J28" s="1" t="s">
        <v>49</v>
      </c>
    </row>
    <row r="29" spans="1:10" x14ac:dyDescent="0.3">
      <c r="B29" s="12" t="s">
        <v>65</v>
      </c>
      <c r="C29" s="6"/>
      <c r="D29" s="15">
        <f xml:space="preserve"> -SUM(D26:D28)</f>
        <v>8.6589533412617961</v>
      </c>
      <c r="E29" s="15">
        <f>E54</f>
        <v>7.0657059264696258</v>
      </c>
      <c r="F29" s="15">
        <f>F54</f>
        <v>4.32421202699941</v>
      </c>
      <c r="G29" s="15">
        <f>G54</f>
        <v>1.7642785070157596</v>
      </c>
      <c r="H29" s="15">
        <f>H54</f>
        <v>0.35991281543121478</v>
      </c>
      <c r="I29" s="15">
        <f>I54</f>
        <v>0</v>
      </c>
      <c r="J29" s="1" t="s">
        <v>50</v>
      </c>
    </row>
    <row r="30" spans="1:10" x14ac:dyDescent="0.3">
      <c r="B30" s="13" t="s">
        <v>21</v>
      </c>
      <c r="C30" s="8"/>
      <c r="D30" s="16">
        <f>SUM(D26:D29)</f>
        <v>0</v>
      </c>
      <c r="E30" s="16">
        <f>SUM(E26:E29)</f>
        <v>999.97380491814476</v>
      </c>
      <c r="F30" s="16">
        <f>SUM(F26:F29)</f>
        <v>998.87771596825837</v>
      </c>
      <c r="G30" s="16">
        <f>SUM(G26:G29)</f>
        <v>998.04545764533759</v>
      </c>
      <c r="H30" s="16">
        <f>SUM(H26:H29)</f>
        <v>998.45515091066932</v>
      </c>
      <c r="I30" s="16"/>
    </row>
    <row r="31" spans="1:10" x14ac:dyDescent="0.3">
      <c r="E31" s="21"/>
      <c r="F31" s="21"/>
      <c r="G31" s="21"/>
      <c r="H31" s="21"/>
    </row>
    <row r="32" spans="1:10" x14ac:dyDescent="0.3">
      <c r="B32" s="13" t="s">
        <v>22</v>
      </c>
      <c r="C32" s="8"/>
      <c r="D32" s="16">
        <f t="shared" ref="D32:I32" si="0" xml:space="preserve"> D19 - D30</f>
        <v>0</v>
      </c>
      <c r="E32" s="16">
        <f xml:space="preserve"> E19 - E30</f>
        <v>2.6195081855235003E-2</v>
      </c>
      <c r="F32" s="16">
        <f t="shared" si="0"/>
        <v>1.1222840317416285</v>
      </c>
      <c r="G32" s="16">
        <f t="shared" si="0"/>
        <v>1.9545423546624079</v>
      </c>
      <c r="H32" s="16">
        <f t="shared" si="0"/>
        <v>1.5448490893306825</v>
      </c>
      <c r="I32" s="16">
        <f t="shared" si="0"/>
        <v>0</v>
      </c>
      <c r="J32" s="1" t="s">
        <v>63</v>
      </c>
    </row>
    <row r="34" spans="1:10" x14ac:dyDescent="0.3">
      <c r="B34" s="3" t="s">
        <v>23</v>
      </c>
      <c r="C34" s="39" t="s">
        <v>0</v>
      </c>
      <c r="D34" s="40">
        <v>0</v>
      </c>
      <c r="E34" s="40">
        <v>1</v>
      </c>
      <c r="F34" s="40">
        <v>2</v>
      </c>
      <c r="G34" s="40">
        <v>3</v>
      </c>
      <c r="H34" s="40">
        <v>4</v>
      </c>
      <c r="I34" s="40">
        <v>5</v>
      </c>
    </row>
    <row r="35" spans="1:10" x14ac:dyDescent="0.3">
      <c r="B35" s="17" t="s">
        <v>24</v>
      </c>
      <c r="C35" s="15"/>
      <c r="D35" s="15"/>
      <c r="E35" s="15">
        <f>E14</f>
        <v>1000</v>
      </c>
      <c r="F35" s="15">
        <f>F14</f>
        <v>0</v>
      </c>
      <c r="G35" s="15">
        <f>G14</f>
        <v>0</v>
      </c>
      <c r="H35" s="15">
        <f>H14</f>
        <v>0</v>
      </c>
      <c r="I35" s="15">
        <f>I14</f>
        <v>0</v>
      </c>
    </row>
    <row r="36" spans="1:10" x14ac:dyDescent="0.3">
      <c r="B36" s="17" t="s">
        <v>25</v>
      </c>
      <c r="C36" s="15"/>
      <c r="D36" s="15"/>
      <c r="E36" s="15">
        <f xml:space="preserve"> (D39 + E35) * RIGHT($B$6, 3)</f>
        <v>48.91763083234229</v>
      </c>
      <c r="F36" s="15">
        <f xml:space="preserve"> (E39 + F35) * RIGHT($B$6, 3)</f>
        <v>49.113512373959395</v>
      </c>
      <c r="G36" s="15">
        <f xml:space="preserve"> (F39 + G35) * RIGHT($B$6, 3)</f>
        <v>49.319187992657362</v>
      </c>
      <c r="H36" s="15">
        <f xml:space="preserve"> (G39 + H35) * RIGHT($B$6, 3)</f>
        <v>49.535147392290234</v>
      </c>
      <c r="I36" s="15">
        <f xml:space="preserve"> (H39 + I35) * RIGHT($B$6, 3)</f>
        <v>49.761904761904745</v>
      </c>
      <c r="J36" s="1"/>
    </row>
    <row r="37" spans="1:10" x14ac:dyDescent="0.3">
      <c r="B37" s="17" t="s">
        <v>60</v>
      </c>
      <c r="C37" s="15"/>
      <c r="D37" s="15"/>
      <c r="E37" s="15">
        <f t="shared" ref="E37:I38" si="1">E16</f>
        <v>0</v>
      </c>
      <c r="F37" s="15">
        <f t="shared" si="1"/>
        <v>0</v>
      </c>
      <c r="G37" s="15">
        <f t="shared" si="1"/>
        <v>0</v>
      </c>
      <c r="H37" s="15">
        <f t="shared" si="1"/>
        <v>0</v>
      </c>
      <c r="I37" s="15">
        <f t="shared" si="1"/>
        <v>-1000</v>
      </c>
    </row>
    <row r="38" spans="1:10" x14ac:dyDescent="0.3">
      <c r="B38" s="17" t="s">
        <v>26</v>
      </c>
      <c r="C38" s="15"/>
      <c r="D38" s="15"/>
      <c r="E38" s="15">
        <f>E17</f>
        <v>-45</v>
      </c>
      <c r="F38" s="15">
        <f t="shared" si="1"/>
        <v>-45</v>
      </c>
      <c r="G38" s="15">
        <f t="shared" si="1"/>
        <v>-45</v>
      </c>
      <c r="H38" s="15">
        <f t="shared" si="1"/>
        <v>-45</v>
      </c>
      <c r="I38" s="15">
        <f t="shared" si="1"/>
        <v>-45</v>
      </c>
    </row>
    <row r="39" spans="1:10" x14ac:dyDescent="0.3">
      <c r="B39" s="18" t="s">
        <v>27</v>
      </c>
      <c r="C39" s="16"/>
      <c r="D39" s="16">
        <f xml:space="preserve"> - ( NPV( RIGHT($B$6, 3), E14:$I$14) * (1 + RIGHT($B$6, 3) ) + NPV( RIGHT($B$6, 3), E16:$I$16) + NPV( RIGHT($B$6, 3), E17:$I$17) )</f>
        <v>-21.647383353154254</v>
      </c>
      <c r="E39" s="16">
        <f>D39 + SUM(E35:E38)</f>
        <v>982.2702474791879</v>
      </c>
      <c r="F39" s="16">
        <f t="shared" ref="F39:I39" si="2">E39 + SUM(F35:F38)</f>
        <v>986.38375985314724</v>
      </c>
      <c r="G39" s="16">
        <f t="shared" si="2"/>
        <v>990.7029478458046</v>
      </c>
      <c r="H39" s="16">
        <f t="shared" si="2"/>
        <v>995.23809523809484</v>
      </c>
      <c r="I39" s="16">
        <f t="shared" si="2"/>
        <v>0</v>
      </c>
    </row>
    <row r="40" spans="1:10" x14ac:dyDescent="0.3">
      <c r="B40" s="37"/>
      <c r="C40" s="38"/>
      <c r="D40" s="38"/>
      <c r="E40" s="38"/>
      <c r="F40" s="38"/>
      <c r="G40" s="38"/>
      <c r="H40" s="38"/>
      <c r="I40" s="38"/>
    </row>
    <row r="41" spans="1:10" x14ac:dyDescent="0.3">
      <c r="B41" s="3" t="s">
        <v>30</v>
      </c>
      <c r="C41" s="4" t="s">
        <v>59</v>
      </c>
      <c r="D41" s="11">
        <v>0</v>
      </c>
      <c r="E41" s="11">
        <v>1</v>
      </c>
      <c r="F41" s="11">
        <v>2</v>
      </c>
      <c r="G41" s="11">
        <v>3</v>
      </c>
      <c r="H41" s="11">
        <v>4</v>
      </c>
      <c r="I41" s="11">
        <v>5</v>
      </c>
    </row>
    <row r="42" spans="1:10" x14ac:dyDescent="0.3">
      <c r="A42" s="43"/>
      <c r="B42" s="17" t="s">
        <v>25</v>
      </c>
      <c r="C42" s="15"/>
      <c r="D42" s="15"/>
      <c r="E42" s="15">
        <f xml:space="preserve"> D44 * RIGHT($B$6, 3)</f>
        <v>0.43294766706308191</v>
      </c>
      <c r="F42" s="15">
        <f t="shared" ref="F42:I42" si="3" xml:space="preserve"> E44 * RIGHT($B$6, 3)</f>
        <v>0.35459505041623601</v>
      </c>
      <c r="G42" s="15">
        <f t="shared" si="3"/>
        <v>0.27232480293704781</v>
      </c>
      <c r="H42" s="15">
        <f t="shared" si="3"/>
        <v>0.18594104308390019</v>
      </c>
      <c r="I42" s="15">
        <f t="shared" si="3"/>
        <v>9.5238095238095191E-2</v>
      </c>
      <c r="J42" s="1"/>
    </row>
    <row r="43" spans="1:10" x14ac:dyDescent="0.3">
      <c r="B43" s="17" t="s">
        <v>29</v>
      </c>
      <c r="C43" s="15"/>
      <c r="D43" s="15"/>
      <c r="E43" s="15">
        <f xml:space="preserve"> -E21</f>
        <v>-2</v>
      </c>
      <c r="F43" s="15">
        <f xml:space="preserve"> -F21</f>
        <v>-2</v>
      </c>
      <c r="G43" s="15">
        <f xml:space="preserve"> -G21</f>
        <v>-2</v>
      </c>
      <c r="H43" s="15">
        <f xml:space="preserve"> -H21</f>
        <v>-2</v>
      </c>
      <c r="I43" s="15">
        <f xml:space="preserve"> -I21</f>
        <v>-2</v>
      </c>
    </row>
    <row r="44" spans="1:10" x14ac:dyDescent="0.3">
      <c r="A44" s="43"/>
      <c r="B44" s="18" t="s">
        <v>27</v>
      </c>
      <c r="C44" s="16"/>
      <c r="D44" s="16">
        <f xml:space="preserve"> NPV( RIGHT($B$6, 3), E$21:$I$21)</f>
        <v>8.658953341261638</v>
      </c>
      <c r="E44" s="16">
        <f>D44 + SUM(E42:E43)</f>
        <v>7.0919010083247196</v>
      </c>
      <c r="F44" s="16">
        <f>E44 + SUM(F42:F43)</f>
        <v>5.4464960587409559</v>
      </c>
      <c r="G44" s="16">
        <f>F44 + SUM(G42:G43)</f>
        <v>3.7188208616780036</v>
      </c>
      <c r="H44" s="16">
        <f>G44 + SUM(H42:H43)</f>
        <v>1.9047619047619038</v>
      </c>
      <c r="I44" s="16">
        <f>H44 + SUM(I42:I43)</f>
        <v>0</v>
      </c>
    </row>
    <row r="45" spans="1:10" x14ac:dyDescent="0.3">
      <c r="E45" s="21"/>
    </row>
    <row r="46" spans="1:10" x14ac:dyDescent="0.3">
      <c r="B46" s="3" t="s">
        <v>31</v>
      </c>
      <c r="C46" s="4" t="s">
        <v>59</v>
      </c>
      <c r="D46" s="11">
        <v>0</v>
      </c>
      <c r="E46" s="11">
        <v>1</v>
      </c>
      <c r="F46" s="11">
        <v>2</v>
      </c>
      <c r="G46" s="11">
        <v>3</v>
      </c>
      <c r="H46" s="11">
        <v>4</v>
      </c>
      <c r="I46" s="11">
        <v>5</v>
      </c>
    </row>
    <row r="47" spans="1:10" x14ac:dyDescent="0.3">
      <c r="A47" s="43"/>
      <c r="B47" s="17" t="s">
        <v>25</v>
      </c>
      <c r="C47" s="15"/>
      <c r="D47" s="15"/>
      <c r="E47" s="15">
        <f xml:space="preserve"> D49 * RIGHT($B$6, 3)</f>
        <v>0.21647383353154095</v>
      </c>
      <c r="F47" s="15">
        <f t="shared" ref="F47:I47" si="4" xml:space="preserve"> E49 * RIGHT($B$6, 3)</f>
        <v>0.17729752520811801</v>
      </c>
      <c r="G47" s="15">
        <f t="shared" si="4"/>
        <v>0.1361624014685239</v>
      </c>
      <c r="H47" s="15">
        <f t="shared" si="4"/>
        <v>9.2970521541950096E-2</v>
      </c>
      <c r="I47" s="15">
        <f t="shared" si="4"/>
        <v>4.7619047619047596E-2</v>
      </c>
      <c r="J47" s="49"/>
    </row>
    <row r="48" spans="1:10" x14ac:dyDescent="0.3">
      <c r="B48" s="17" t="s">
        <v>29</v>
      </c>
      <c r="C48" s="15"/>
      <c r="D48" s="15"/>
      <c r="E48" s="15">
        <f xml:space="preserve"> -E22</f>
        <v>-1</v>
      </c>
      <c r="F48" s="15">
        <f xml:space="preserve"> -F22</f>
        <v>-1</v>
      </c>
      <c r="G48" s="15">
        <f xml:space="preserve"> -G22</f>
        <v>-1</v>
      </c>
      <c r="H48" s="15">
        <f xml:space="preserve"> -H22</f>
        <v>-1</v>
      </c>
      <c r="I48" s="15">
        <f xml:space="preserve"> -I22</f>
        <v>-1</v>
      </c>
      <c r="J48" s="49"/>
    </row>
    <row r="49" spans="1:10" x14ac:dyDescent="0.3">
      <c r="A49" s="43"/>
      <c r="B49" s="18" t="s">
        <v>27</v>
      </c>
      <c r="C49" s="16"/>
      <c r="D49" s="16">
        <f xml:space="preserve"> NPV( RIGHT($B$6, 3), E$22:$I$22)</f>
        <v>4.329476670630819</v>
      </c>
      <c r="E49" s="16">
        <f>D49 + SUM(E47:E48)</f>
        <v>3.5459505041623598</v>
      </c>
      <c r="F49" s="16">
        <f>E49 + SUM(F47:F48)</f>
        <v>2.7232480293704779</v>
      </c>
      <c r="G49" s="16">
        <f>F49 + SUM(G47:G48)</f>
        <v>1.8594104308390018</v>
      </c>
      <c r="H49" s="16">
        <f>G49 + SUM(H47:H48)</f>
        <v>0.95238095238095188</v>
      </c>
      <c r="I49" s="16">
        <f>H49 + SUM(I47:I48)</f>
        <v>0</v>
      </c>
    </row>
    <row r="51" spans="1:10" ht="28.8" x14ac:dyDescent="0.3">
      <c r="B51" s="48" t="s">
        <v>78</v>
      </c>
      <c r="C51" s="4" t="s">
        <v>59</v>
      </c>
      <c r="D51" s="11">
        <v>0</v>
      </c>
      <c r="E51" s="11">
        <v>1</v>
      </c>
      <c r="F51" s="11">
        <v>2</v>
      </c>
      <c r="G51" s="11">
        <v>3</v>
      </c>
      <c r="H51" s="11">
        <v>4</v>
      </c>
      <c r="I51" s="11">
        <v>5</v>
      </c>
    </row>
    <row r="52" spans="1:10" x14ac:dyDescent="0.3">
      <c r="A52" s="43"/>
      <c r="B52" s="17" t="s">
        <v>66</v>
      </c>
      <c r="C52" s="36"/>
      <c r="D52" s="36"/>
      <c r="E52" s="15">
        <f xml:space="preserve"> D54 * RIGHT($B$11, 3)</f>
        <v>0.17317906682523593</v>
      </c>
      <c r="F52" s="15">
        <f t="shared" ref="F52:I52" si="5" xml:space="preserve"> E54 * RIGHT($B$11, 3)</f>
        <v>0.14131411852939252</v>
      </c>
      <c r="G52" s="15">
        <f t="shared" si="5"/>
        <v>8.6484240539988197E-2</v>
      </c>
      <c r="H52" s="15">
        <f t="shared" si="5"/>
        <v>3.5285570140315192E-2</v>
      </c>
      <c r="I52" s="15">
        <f t="shared" si="5"/>
        <v>7.1982563086242955E-3</v>
      </c>
      <c r="J52" s="1" t="s">
        <v>72</v>
      </c>
    </row>
    <row r="53" spans="1:10" x14ac:dyDescent="0.3">
      <c r="B53" s="17" t="s">
        <v>36</v>
      </c>
      <c r="C53" s="15"/>
      <c r="D53" s="15"/>
      <c r="E53" s="28">
        <f xml:space="preserve"> -20%* (D54 + SUM(E52:E52) )</f>
        <v>-1.7664264816174065</v>
      </c>
      <c r="F53" s="28">
        <f xml:space="preserve"> -40%* (E54 + SUM(F52:F52) )</f>
        <v>-2.8828080179996078</v>
      </c>
      <c r="G53" s="28">
        <f xml:space="preserve"> -60%* (F54 + SUM(G52:G52) )</f>
        <v>-2.6464177605236388</v>
      </c>
      <c r="H53" s="28">
        <f xml:space="preserve"> -80%* (G54 + SUM(H52:H52) )</f>
        <v>-1.43965126172486</v>
      </c>
      <c r="I53" s="28">
        <f xml:space="preserve"> -100%* (H54 + SUM(I52:I52) )</f>
        <v>-0.36711107173983909</v>
      </c>
      <c r="J53" s="1" t="s">
        <v>69</v>
      </c>
    </row>
    <row r="54" spans="1:10" x14ac:dyDescent="0.3">
      <c r="B54" s="18" t="s">
        <v>27</v>
      </c>
      <c r="C54" s="16"/>
      <c r="D54" s="16">
        <f xml:space="preserve"> D29</f>
        <v>8.6589533412617961</v>
      </c>
      <c r="E54" s="16">
        <f xml:space="preserve"> D54 + SUM(E52:E53)</f>
        <v>7.0657059264696258</v>
      </c>
      <c r="F54" s="16">
        <f xml:space="preserve"> E54 + SUM(F52:F53)</f>
        <v>4.32421202699941</v>
      </c>
      <c r="G54" s="16">
        <f xml:space="preserve"> F54 + SUM(G52:G53)</f>
        <v>1.7642785070157596</v>
      </c>
      <c r="H54" s="16">
        <f xml:space="preserve"> G54 + SUM(H52:H53)</f>
        <v>0.35991281543121478</v>
      </c>
      <c r="I54" s="16">
        <f xml:space="preserve"> H54 + SUM(I52:I53)</f>
        <v>0</v>
      </c>
    </row>
    <row r="55" spans="1:10" x14ac:dyDescent="0.3">
      <c r="E55" s="21"/>
      <c r="F55" s="21"/>
      <c r="G55" s="21"/>
      <c r="H55" s="21"/>
      <c r="I55" s="21"/>
    </row>
    <row r="57" spans="1:10" x14ac:dyDescent="0.3">
      <c r="B57" s="20" t="s">
        <v>37</v>
      </c>
      <c r="C57" s="4" t="s">
        <v>59</v>
      </c>
      <c r="D57" s="11">
        <v>0</v>
      </c>
      <c r="E57" s="11">
        <v>1</v>
      </c>
      <c r="F57" s="11">
        <v>2</v>
      </c>
      <c r="G57" s="11">
        <v>3</v>
      </c>
      <c r="H57" s="11">
        <v>4</v>
      </c>
      <c r="I57" s="11">
        <v>5</v>
      </c>
    </row>
    <row r="58" spans="1:10" x14ac:dyDescent="0.3">
      <c r="B58" s="22" t="s">
        <v>38</v>
      </c>
      <c r="C58" s="15"/>
      <c r="D58" s="15"/>
      <c r="E58" s="15">
        <f>-E43</f>
        <v>2</v>
      </c>
      <c r="F58" s="15">
        <f>-F43</f>
        <v>2</v>
      </c>
      <c r="G58" s="15">
        <f>-G43</f>
        <v>2</v>
      </c>
      <c r="H58" s="15">
        <f>-H43</f>
        <v>2</v>
      </c>
      <c r="I58" s="15">
        <f>-I43</f>
        <v>2</v>
      </c>
      <c r="J58" s="1" t="s">
        <v>52</v>
      </c>
    </row>
    <row r="59" spans="1:10" x14ac:dyDescent="0.3">
      <c r="B59" s="23" t="s">
        <v>39</v>
      </c>
      <c r="C59" s="15"/>
      <c r="D59" s="15"/>
      <c r="E59" s="15">
        <f>-E53</f>
        <v>1.7664264816174065</v>
      </c>
      <c r="F59" s="15">
        <f>-F53</f>
        <v>2.8828080179996078</v>
      </c>
      <c r="G59" s="15">
        <f>-G53</f>
        <v>2.6464177605236388</v>
      </c>
      <c r="H59" s="15">
        <f>-H53</f>
        <v>1.43965126172486</v>
      </c>
      <c r="I59" s="15">
        <f>-I53</f>
        <v>0.36711107173983909</v>
      </c>
    </row>
    <row r="60" spans="1:10" x14ac:dyDescent="0.3">
      <c r="B60" s="32" t="s">
        <v>67</v>
      </c>
      <c r="C60" s="16"/>
      <c r="D60" s="16"/>
      <c r="E60" s="29">
        <f>SUM(E58:E59)</f>
        <v>3.7664264816174065</v>
      </c>
      <c r="F60" s="16">
        <f>SUM(F58:F59)</f>
        <v>4.8828080179996078</v>
      </c>
      <c r="G60" s="16">
        <f>SUM(G58:G59)</f>
        <v>4.6464177605236383</v>
      </c>
      <c r="H60" s="16">
        <f>SUM(H58:H59)</f>
        <v>3.43965126172486</v>
      </c>
      <c r="I60" s="16">
        <f>SUM(I58:I59)</f>
        <v>2.3671110717398389</v>
      </c>
    </row>
    <row r="61" spans="1:10" ht="9" customHeight="1" x14ac:dyDescent="0.3">
      <c r="B61" s="24"/>
      <c r="C61" s="15"/>
      <c r="D61" s="15"/>
      <c r="E61" s="15"/>
      <c r="F61" s="15"/>
      <c r="G61" s="15"/>
      <c r="H61" s="15"/>
      <c r="I61" s="15"/>
    </row>
    <row r="62" spans="1:10" x14ac:dyDescent="0.3">
      <c r="B62" s="27" t="s">
        <v>40</v>
      </c>
      <c r="C62" s="15"/>
      <c r="D62" s="15"/>
      <c r="E62" s="15">
        <f xml:space="preserve"> E15</f>
        <v>50</v>
      </c>
      <c r="F62" s="15">
        <f xml:space="preserve"> F15</f>
        <v>50</v>
      </c>
      <c r="G62" s="15">
        <f xml:space="preserve"> G15</f>
        <v>50</v>
      </c>
      <c r="H62" s="15">
        <f xml:space="preserve"> H15</f>
        <v>50</v>
      </c>
      <c r="I62" s="15">
        <f xml:space="preserve"> I15</f>
        <v>50</v>
      </c>
    </row>
    <row r="63" spans="1:10" x14ac:dyDescent="0.3">
      <c r="B63" s="33" t="s">
        <v>61</v>
      </c>
      <c r="C63" s="16"/>
      <c r="D63" s="16"/>
      <c r="E63" s="29">
        <f>SUM(E62)</f>
        <v>50</v>
      </c>
      <c r="F63" s="29">
        <f>SUM(F62)</f>
        <v>50</v>
      </c>
      <c r="G63" s="29">
        <f>SUM(G62)</f>
        <v>50</v>
      </c>
      <c r="H63" s="29">
        <f>SUM(H62)</f>
        <v>50</v>
      </c>
      <c r="I63" s="29">
        <f>SUM(I62)</f>
        <v>50</v>
      </c>
    </row>
    <row r="64" spans="1:10" ht="6.75" customHeight="1" x14ac:dyDescent="0.3">
      <c r="B64" s="26"/>
      <c r="C64" s="15"/>
      <c r="D64" s="15"/>
      <c r="E64" s="15"/>
      <c r="F64" s="15"/>
      <c r="G64" s="15"/>
      <c r="H64" s="15"/>
      <c r="I64" s="15"/>
    </row>
    <row r="65" spans="1:10" x14ac:dyDescent="0.3">
      <c r="A65" s="43"/>
      <c r="B65" s="27" t="s">
        <v>57</v>
      </c>
      <c r="C65" s="15"/>
      <c r="D65" s="15"/>
      <c r="E65" s="15">
        <f xml:space="preserve"> -E36</f>
        <v>-48.91763083234229</v>
      </c>
      <c r="F65" s="15">
        <f xml:space="preserve"> -F36</f>
        <v>-49.113512373959395</v>
      </c>
      <c r="G65" s="15">
        <f xml:space="preserve"> -G36</f>
        <v>-49.319187992657362</v>
      </c>
      <c r="H65" s="15">
        <f xml:space="preserve"> -H36</f>
        <v>-49.535147392290234</v>
      </c>
      <c r="I65" s="15">
        <f xml:space="preserve"> -I36</f>
        <v>-49.761904761904745</v>
      </c>
      <c r="J65" s="1" t="s">
        <v>73</v>
      </c>
    </row>
    <row r="66" spans="1:10" x14ac:dyDescent="0.3">
      <c r="A66" s="43"/>
      <c r="B66" s="27" t="s">
        <v>34</v>
      </c>
      <c r="C66" s="15"/>
      <c r="D66" s="15"/>
      <c r="E66" s="15">
        <f xml:space="preserve"> -E42</f>
        <v>-0.43294766706308191</v>
      </c>
      <c r="F66" s="15">
        <f t="shared" ref="F66:I66" si="6" xml:space="preserve"> -F42</f>
        <v>-0.35459505041623601</v>
      </c>
      <c r="G66" s="15">
        <f t="shared" si="6"/>
        <v>-0.27232480293704781</v>
      </c>
      <c r="H66" s="15">
        <f t="shared" si="6"/>
        <v>-0.18594104308390019</v>
      </c>
      <c r="I66" s="15">
        <f t="shared" si="6"/>
        <v>-9.5238095238095191E-2</v>
      </c>
      <c r="J66" s="1" t="s">
        <v>73</v>
      </c>
    </row>
    <row r="67" spans="1:10" x14ac:dyDescent="0.3">
      <c r="A67" s="43"/>
      <c r="B67" s="27" t="s">
        <v>35</v>
      </c>
      <c r="C67" s="15"/>
      <c r="D67" s="15"/>
      <c r="E67" s="15">
        <f xml:space="preserve"> - (E47+E48)</f>
        <v>0.78352616646845907</v>
      </c>
      <c r="F67" s="15">
        <f t="shared" ref="F67:I67" si="7" xml:space="preserve"> - (F47+F48)</f>
        <v>0.82270247479188197</v>
      </c>
      <c r="G67" s="15">
        <f t="shared" si="7"/>
        <v>0.86383759853147613</v>
      </c>
      <c r="H67" s="15">
        <f t="shared" si="7"/>
        <v>0.90702947845804993</v>
      </c>
      <c r="I67" s="15">
        <f t="shared" si="7"/>
        <v>0.95238095238095244</v>
      </c>
      <c r="J67" s="1" t="s">
        <v>74</v>
      </c>
    </row>
    <row r="68" spans="1:10" x14ac:dyDescent="0.3">
      <c r="A68" s="43"/>
      <c r="B68" s="27" t="s">
        <v>58</v>
      </c>
      <c r="C68" s="15"/>
      <c r="D68" s="15"/>
      <c r="E68" s="15">
        <f>-E52</f>
        <v>-0.17317906682523593</v>
      </c>
      <c r="F68" s="15">
        <f t="shared" ref="F68:I68" si="8">-F52</f>
        <v>-0.14131411852939252</v>
      </c>
      <c r="G68" s="15">
        <f t="shared" si="8"/>
        <v>-8.6484240539988197E-2</v>
      </c>
      <c r="H68" s="15">
        <f t="shared" si="8"/>
        <v>-3.5285570140315192E-2</v>
      </c>
      <c r="I68" s="15">
        <f t="shared" si="8"/>
        <v>-7.1982563086242955E-3</v>
      </c>
      <c r="J68" s="1" t="s">
        <v>73</v>
      </c>
    </row>
    <row r="69" spans="1:10" x14ac:dyDescent="0.3">
      <c r="B69" s="25" t="s">
        <v>76</v>
      </c>
      <c r="C69" s="15"/>
      <c r="D69" s="15"/>
      <c r="E69" s="15">
        <v>0</v>
      </c>
      <c r="F69" s="15">
        <v>0</v>
      </c>
      <c r="G69" s="15">
        <v>0</v>
      </c>
      <c r="H69" s="15">
        <v>0</v>
      </c>
      <c r="I69" s="15">
        <v>0</v>
      </c>
    </row>
    <row r="70" spans="1:10" x14ac:dyDescent="0.3">
      <c r="B70" s="34" t="s">
        <v>54</v>
      </c>
      <c r="C70" s="16"/>
      <c r="D70" s="16"/>
      <c r="E70" s="16">
        <f>SUM(E65:E69)</f>
        <v>-48.740231399762145</v>
      </c>
      <c r="F70" s="16">
        <f>SUM(F65:F69)</f>
        <v>-48.786719068113143</v>
      </c>
      <c r="G70" s="16">
        <f>SUM(G65:G69)</f>
        <v>-48.814159437602925</v>
      </c>
      <c r="H70" s="16">
        <f>SUM(H65:H69)</f>
        <v>-48.849344527056402</v>
      </c>
      <c r="I70" s="16">
        <f>SUM(I65:I69)</f>
        <v>-48.911960161070517</v>
      </c>
    </row>
    <row r="71" spans="1:10" x14ac:dyDescent="0.3">
      <c r="B71" s="32" t="s">
        <v>41</v>
      </c>
      <c r="C71" s="16"/>
      <c r="D71" s="16"/>
      <c r="E71" s="16">
        <f xml:space="preserve"> E63 + E70</f>
        <v>1.2597686002378552</v>
      </c>
      <c r="F71" s="16">
        <f xml:space="preserve"> F63 + F70</f>
        <v>1.2132809318868567</v>
      </c>
      <c r="G71" s="16">
        <f xml:space="preserve"> G63 + G70</f>
        <v>1.1858405623970754</v>
      </c>
      <c r="H71" s="16">
        <f xml:space="preserve"> H63 + H70</f>
        <v>1.1506554729435976</v>
      </c>
      <c r="I71" s="16">
        <f xml:space="preserve"> I63 + I70</f>
        <v>1.0880398389294825</v>
      </c>
      <c r="J71" s="1"/>
    </row>
    <row r="72" spans="1:10" ht="9" customHeight="1" x14ac:dyDescent="0.3">
      <c r="B72" s="30"/>
      <c r="C72" s="15"/>
      <c r="D72" s="15"/>
      <c r="E72" s="15"/>
      <c r="F72" s="15"/>
      <c r="G72" s="15"/>
      <c r="H72" s="15"/>
      <c r="I72" s="15"/>
    </row>
    <row r="73" spans="1:10" x14ac:dyDescent="0.3">
      <c r="B73" s="13" t="s">
        <v>42</v>
      </c>
      <c r="C73" s="16"/>
      <c r="D73" s="16"/>
      <c r="E73" s="16">
        <f xml:space="preserve"> E60 + E71</f>
        <v>5.0261950818552616</v>
      </c>
      <c r="F73" s="16">
        <f xml:space="preserve"> F60 + F71</f>
        <v>6.0960889498864645</v>
      </c>
      <c r="G73" s="16">
        <f xml:space="preserve"> G60 + G71</f>
        <v>5.8322583229207137</v>
      </c>
      <c r="H73" s="16">
        <f xml:space="preserve"> H60 + H71</f>
        <v>4.5903067346684576</v>
      </c>
      <c r="I73" s="16">
        <f xml:space="preserve"> I60 + I71</f>
        <v>3.4551509106693215</v>
      </c>
      <c r="J73" s="1"/>
    </row>
    <row r="74" spans="1:10" ht="9" customHeight="1" x14ac:dyDescent="0.3">
      <c r="B74" s="35"/>
      <c r="C74" s="35"/>
      <c r="D74" s="35"/>
      <c r="E74" s="42"/>
      <c r="F74" s="42"/>
      <c r="G74" s="42"/>
      <c r="H74" s="42"/>
      <c r="I74" s="42"/>
    </row>
    <row r="75" spans="1:10" x14ac:dyDescent="0.3">
      <c r="B75" s="13" t="s">
        <v>43</v>
      </c>
      <c r="C75" s="31"/>
      <c r="D75" s="31"/>
      <c r="E75" s="16">
        <f xml:space="preserve"> -E18</f>
        <v>5</v>
      </c>
      <c r="F75" s="16">
        <f xml:space="preserve"> -F18</f>
        <v>5</v>
      </c>
      <c r="G75" s="16">
        <f xml:space="preserve"> -G18</f>
        <v>5</v>
      </c>
      <c r="H75" s="16">
        <f xml:space="preserve"> -H18</f>
        <v>5</v>
      </c>
      <c r="I75" s="16">
        <f xml:space="preserve"> -I18</f>
        <v>5</v>
      </c>
      <c r="J75" s="41"/>
    </row>
    <row r="76" spans="1:10" ht="9" customHeight="1" x14ac:dyDescent="0.3">
      <c r="B76" s="13"/>
      <c r="C76" s="15"/>
      <c r="D76" s="15"/>
      <c r="E76" s="15"/>
      <c r="F76" s="15"/>
      <c r="G76" s="15"/>
      <c r="H76" s="15"/>
      <c r="I76" s="15"/>
    </row>
    <row r="77" spans="1:10" x14ac:dyDescent="0.3">
      <c r="B77" s="13" t="s">
        <v>85</v>
      </c>
      <c r="C77" s="16"/>
      <c r="D77" s="16"/>
      <c r="E77" s="16">
        <f xml:space="preserve"> E73 - E75</f>
        <v>2.6195081855261648E-2</v>
      </c>
      <c r="F77" s="16">
        <f xml:space="preserve"> F73 - F75</f>
        <v>1.0960889498864645</v>
      </c>
      <c r="G77" s="16">
        <f xml:space="preserve"> G73 - G75</f>
        <v>0.83225832292071367</v>
      </c>
      <c r="H77" s="16">
        <f xml:space="preserve"> H73 - H75</f>
        <v>-0.40969326533154238</v>
      </c>
      <c r="I77" s="16">
        <f xml:space="preserve"> I73 - I75</f>
        <v>-1.5448490893306785</v>
      </c>
    </row>
    <row r="79" spans="1:10" x14ac:dyDescent="0.3">
      <c r="E79" s="19"/>
      <c r="F79" s="44"/>
      <c r="G79" s="44"/>
      <c r="H79" s="44"/>
      <c r="I79" s="44"/>
    </row>
    <row r="80" spans="1:10" x14ac:dyDescent="0.3">
      <c r="E80" s="44"/>
      <c r="F80" s="44"/>
      <c r="G80" s="44"/>
      <c r="H80" s="44"/>
      <c r="I80" s="44"/>
    </row>
  </sheetData>
  <mergeCells count="1">
    <mergeCell ref="J47:J48"/>
  </mergeCells>
  <pageMargins left="0.7" right="0.7" top="0.75" bottom="0.75" header="0.3" footer="0.3"/>
  <pageSetup scale="6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Exemple MHV</vt:lpstr>
      <vt:lpstr>Exemple MGE</vt:lpstr>
      <vt:lpstr>'Exemple MGE'!Print_Area</vt:lpstr>
      <vt:lpstr>'Exemple MHV'!Print_Area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Cloutier</dc:creator>
  <cp:lastModifiedBy>Josée Racette</cp:lastModifiedBy>
  <cp:lastPrinted>2020-02-09T20:30:22Z</cp:lastPrinted>
  <dcterms:created xsi:type="dcterms:W3CDTF">2020-02-02T19:47:10Z</dcterms:created>
  <dcterms:modified xsi:type="dcterms:W3CDTF">2023-06-07T15:01:05Z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