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Z:\#01 - CIA\Professional Practice\PC\Ed Notes\Risk Adjustment P&amp;C\2021\For mail vote and publication\"/>
    </mc:Choice>
  </mc:AlternateContent>
  <xr:revisionPtr revIDLastSave="0" documentId="13_ncr:1_{ECED9182-F176-4AE7-8B37-B5D4A9487B29}" xr6:coauthVersionLast="47" xr6:coauthVersionMax="47" xr10:uidLastSave="{00000000-0000-0000-0000-000000000000}"/>
  <bookViews>
    <workbookView xWindow="-21825" yWindow="135" windowWidth="20700" windowHeight="14730" activeTab="3" xr2:uid="{00000000-000D-0000-FFFF-FFFF00000000}"/>
  </bookViews>
  <sheets>
    <sheet name="Info" sheetId="9" r:id="rId1"/>
    <sheet name="Scenarios" sheetId="11" r:id="rId2"/>
    <sheet name="Long_Tail" sheetId="1" r:id="rId3"/>
    <sheet name="Short_Tail" sheetId="2" r:id="rId4"/>
    <sheet name="Total_MonteCarlo" sheetId="5" r:id="rId5"/>
  </sheets>
  <definedNames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GoalSeekTargetValue" hidden="1">0</definedName>
    <definedName name="_AtRisk_SimSetting_LiveUpdate" hidden="1">TRUE</definedName>
    <definedName name="_AtRisk_SimSetting_LiveUpdatePeriod" hidden="1">-1</definedName>
    <definedName name="_AtRisk_SimSetting_MacroMode" hidden="1">0</definedName>
    <definedName name="_AtRisk_SimSetting_MacroRecalculationBehavior" hidden="1">0</definedName>
    <definedName name="_AtRisk_SimSetting_MultipleCPUManualCount" hidden="1">8</definedName>
    <definedName name="_AtRisk_SimSetting_MultipleCPUMode" hidden="1">0</definedName>
    <definedName name="_AtRisk_SimSetting_RandomNumberGenerator" hidden="1">0</definedName>
    <definedName name="_AtRisk_SimSetting_ReportOptionCustomItemCumulativeOverlay01" hidden="1">0</definedName>
    <definedName name="_AtRisk_SimSetting_ReportOptionCustomItemCumulativeOverlay02" hidden="1">0</definedName>
    <definedName name="_AtRisk_SimSetting_ReportOptionCustomItemCumulativeOverlay03" hidden="1">0</definedName>
    <definedName name="_AtRisk_SimSetting_ReportOptionCustomItemCumulativeOverlay04" hidden="1">0</definedName>
    <definedName name="_AtRisk_SimSetting_ReportOptionCustomItemCumulativeOverlay05" hidden="1">0</definedName>
    <definedName name="_AtRisk_SimSetting_ReportOptionCustomItemCumulativeOverlay06" hidden="1">0</definedName>
    <definedName name="_AtRisk_SimSetting_ReportOptionCustomItemDistributionFormat01" hidden="1">1</definedName>
    <definedName name="_AtRisk_SimSetting_ReportOptionCustomItemDistributionFormat02" hidden="1">1</definedName>
    <definedName name="_AtRisk_SimSetting_ReportOptionCustomItemDistributionFormat03" hidden="1">4</definedName>
    <definedName name="_AtRisk_SimSetting_ReportOptionCustomItemDistributionFormat04" hidden="1">1</definedName>
    <definedName name="_AtRisk_SimSetting_ReportOptionCustomItemDistributionFormat05" hidden="1">1</definedName>
    <definedName name="_AtRisk_SimSetting_ReportOptionCustomItemDistributionFormat06" hidden="1">1</definedName>
    <definedName name="_AtRisk_SimSetting_ReportOptionCustomItemGraphFormat01" hidden="1">1</definedName>
    <definedName name="_AtRisk_SimSetting_ReportOptionCustomItemGraphFormat02" hidden="1">1</definedName>
    <definedName name="_AtRisk_SimSetting_ReportOptionCustomItemGraphFormat03" hidden="1">1</definedName>
    <definedName name="_AtRisk_SimSetting_ReportOptionCustomItemGraphFormat04" hidden="1">1</definedName>
    <definedName name="_AtRisk_SimSetting_ReportOptionCustomItemGraphFormat05" hidden="1">1</definedName>
    <definedName name="_AtRisk_SimSetting_ReportOptionCustomItemGraphFormat06" hidden="1">1</definedName>
    <definedName name="_AtRisk_SimSetting_ReportOptionCustomItemItemIndex01" hidden="1">0</definedName>
    <definedName name="_AtRisk_SimSetting_ReportOptionCustomItemItemIndex02" hidden="1">1</definedName>
    <definedName name="_AtRisk_SimSetting_ReportOptionCustomItemItemIndex03" hidden="1">2</definedName>
    <definedName name="_AtRisk_SimSetting_ReportOptionCustomItemItemIndex04" hidden="1">3</definedName>
    <definedName name="_AtRisk_SimSetting_ReportOptionCustomItemItemIndex05" hidden="1">4</definedName>
    <definedName name="_AtRisk_SimSetting_ReportOptionCustomItemItemIndex06" hidden="1">5</definedName>
    <definedName name="_AtRisk_SimSetting_ReportOptionCustomItemItemSize01" hidden="1">0</definedName>
    <definedName name="_AtRisk_SimSetting_ReportOptionCustomItemItemSize02" hidden="1">0</definedName>
    <definedName name="_AtRisk_SimSetting_ReportOptionCustomItemItemSize03" hidden="1">0</definedName>
    <definedName name="_AtRisk_SimSetting_ReportOptionCustomItemItemSize04" hidden="1">0</definedName>
    <definedName name="_AtRisk_SimSetting_ReportOptionCustomItemItemSize05" hidden="1">0</definedName>
    <definedName name="_AtRisk_SimSetting_ReportOptionCustomItemItemSize06" hidden="1">0</definedName>
    <definedName name="_AtRisk_SimSetting_ReportOptionCustomItemItemType01" hidden="1">1</definedName>
    <definedName name="_AtRisk_SimSetting_ReportOptionCustomItemItemType02" hidden="1">5</definedName>
    <definedName name="_AtRisk_SimSetting_ReportOptionCustomItemItemType03" hidden="1">1</definedName>
    <definedName name="_AtRisk_SimSetting_ReportOptionCustomItemItemType04" hidden="1">3</definedName>
    <definedName name="_AtRisk_SimSetting_ReportOptionCustomItemItemType05" hidden="1">2</definedName>
    <definedName name="_AtRisk_SimSetting_ReportOptionCustomItemItemType06" hidden="1">4</definedName>
    <definedName name="_AtRisk_SimSetting_ReportOptionCustomItemLegendType01" hidden="1">0</definedName>
    <definedName name="_AtRisk_SimSetting_ReportOptionCustomItemLegendType02" hidden="1">0</definedName>
    <definedName name="_AtRisk_SimSetting_ReportOptionCustomItemLegendType03" hidden="1">0</definedName>
    <definedName name="_AtRisk_SimSetting_ReportOptionCustomItemLegendType04" hidden="1">0</definedName>
    <definedName name="_AtRisk_SimSetting_ReportOptionCustomItemLegendType05" hidden="1">0</definedName>
    <definedName name="_AtRisk_SimSetting_ReportOptionCustomItemLegendType06" hidden="1">0</definedName>
    <definedName name="_AtRisk_SimSetting_ReportOptionCustomItemsCount" hidden="1">6</definedName>
    <definedName name="_AtRisk_SimSetting_ReportOptionCustomItemSensitivityFormat01" hidden="1">1</definedName>
    <definedName name="_AtRisk_SimSetting_ReportOptionCustomItemSensitivityFormat02" hidden="1">1</definedName>
    <definedName name="_AtRisk_SimSetting_ReportOptionCustomItemSensitivityFormat03" hidden="1">1</definedName>
    <definedName name="_AtRisk_SimSetting_ReportOptionCustomItemSensitivityFormat04" hidden="1">1</definedName>
    <definedName name="_AtRisk_SimSetting_ReportOptionCustomItemSensitivityFormat05" hidden="1">1</definedName>
    <definedName name="_AtRisk_SimSetting_ReportOptionCustomItemSensitivityFormat06" hidden="1">1</definedName>
    <definedName name="_AtRisk_SimSetting_ReportOptionCustomItemSummaryGraphType01" hidden="1">0</definedName>
    <definedName name="_AtRisk_SimSetting_ReportOptionCustomItemSummaryGraphType02" hidden="1">0</definedName>
    <definedName name="_AtRisk_SimSetting_ReportOptionCustomItemSummaryGraphType03" hidden="1">0</definedName>
    <definedName name="_AtRisk_SimSetting_ReportOptionCustomItemSummaryGraphType04" hidden="1">0</definedName>
    <definedName name="_AtRisk_SimSetting_ReportOptionCustomItemSummaryGraphType05" hidden="1">0</definedName>
    <definedName name="_AtRisk_SimSetting_ReportOptionCustomItemSummaryGraphType06" hidden="1">0</definedName>
    <definedName name="_AtRisk_SimSetting_ReportOptionDataMode" hidden="1">1</definedName>
    <definedName name="_AtRisk_SimSetting_ReportOptionReportMultiSimType" hidden="1">0</definedName>
    <definedName name="_AtRisk_SimSetting_ReportOptionReportPlacement" hidden="1">1</definedName>
    <definedName name="_AtRisk_SimSetting_ReportOptionReportSelection" hidden="1">0</definedName>
    <definedName name="_AtRisk_SimSetting_ReportOptionReportsFileType" hidden="1">1</definedName>
    <definedName name="_AtRisk_SimSetting_ReportOptionReportStyle" hidden="1">2</definedName>
    <definedName name="_AtRisk_SimSetting_ReportOptionSelectiveQR" hidden="1">FALSE</definedName>
    <definedName name="_AtRisk_SimSetting_ReportsList" hidden="1">0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Capital_T0">Long_Tail!$I$29</definedName>
    <definedName name="Capital_T0_Gross" localSheetId="3">Short_Tail!$C$52</definedName>
    <definedName name="Capital_T0_Gross" localSheetId="4">Total_MonteCarlo!$C$71</definedName>
    <definedName name="Capital_T0_Gross">Long_Tail!$C$52</definedName>
    <definedName name="Capital_T0_Net" localSheetId="3">Short_Tail!$R$50</definedName>
    <definedName name="Capital_T0_Net" localSheetId="4">Total_MonteCarlo!$R$71</definedName>
    <definedName name="Capital_T0_Net">Long_Tail!$R$52</definedName>
    <definedName name="CoC_Rate">Total_MonteCarlo!$C$83</definedName>
    <definedName name="Confidence_tbl_Gross" localSheetId="3">Short_Tail!$H$10:$J$31</definedName>
    <definedName name="Confidence_tbl_Gross">Long_Tail!$H$10:$J$31</definedName>
    <definedName name="Confidence_tbl_Net" localSheetId="3">Short_Tail!$W$10:$Y$31</definedName>
    <definedName name="Confidence_tbl_Net">Long_Tail!$W$10:$Y$31</definedName>
    <definedName name="Discount_Factor">Total_MonteCarlo!$C$79:$M$79</definedName>
    <definedName name="Distr_Table_Gross" localSheetId="4">Total_MonteCarlo!$B$30:$N$51</definedName>
    <definedName name="Distr_Table_Net">Total_MonteCarlo!$Q$30:$AC$51</definedName>
    <definedName name="Implied_Mean_Gross" localSheetId="3">Short_Tail!$D$10</definedName>
    <definedName name="Implied_Mean_Gross" localSheetId="4">Total_MonteCarlo!$C$9</definedName>
    <definedName name="Implied_Mean_Gross">Long_Tail!$D$10</definedName>
    <definedName name="Implied_Mean_Net" localSheetId="3">Short_Tail!$S$10</definedName>
    <definedName name="Implied_Mean_Net" localSheetId="4">Total_MonteCarlo!$R$9</definedName>
    <definedName name="Implied_Mean_Net">Long_Tail!$S$10</definedName>
    <definedName name="info_ceded">Info!$H$3</definedName>
    <definedName name="Info_DollarUnit">Info!$B$4</definedName>
    <definedName name="info_Gross">Info!$B$3</definedName>
    <definedName name="info_Net">Info!$E$3</definedName>
    <definedName name="Info_Project">Info!$B$2</definedName>
    <definedName name="Info_Title">Info!$B$1</definedName>
    <definedName name="Lognormal_Mu_Gross" localSheetId="3">Short_Tail!$D$22</definedName>
    <definedName name="Lognormal_Mu_Gross">Long_Tail!$D$22</definedName>
    <definedName name="Lognormal_Mu_Net" localSheetId="3">Short_Tail!$S$22</definedName>
    <definedName name="Lognormal_Mu_Net">Long_Tail!$S$22</definedName>
    <definedName name="Lognormal_Sigma_Gross" localSheetId="3">Short_Tail!$D$23</definedName>
    <definedName name="Lognormal_Sigma_Gross">Long_Tail!$D$23</definedName>
    <definedName name="Lognormal_Sigma_Net" localSheetId="3">Short_Tail!$S$23</definedName>
    <definedName name="Lognormal_Sigma_Net">Long_Tail!$S$23</definedName>
    <definedName name="NewMatrix1">Total_MonteCarlo!$C$20:$D$21</definedName>
    <definedName name="NewMatrix2">Total_MonteCarlo!$C$20:$D$21</definedName>
    <definedName name="NewMatrix3">Total_MonteCarlo!$C$20:$D$21</definedName>
    <definedName name="Pal_Workbook_GUID" hidden="1">"9LS52JEVXCQZN5DUA56W6IEK"</definedName>
    <definedName name="_xlnm.Print_Area" localSheetId="2">Long_Tail!$A$1:$N$40,Long_Tail!$A$42:$N$87,Long_Tail!$P$1:$AC$40,Long_Tail!$P$42:$AC$87</definedName>
    <definedName name="_xlnm.Print_Area" localSheetId="1">Scenarios!$A$1:$M$73,Scenarios!$O$1:$AA$73,Scenarios!$AC$1:$AO$73</definedName>
    <definedName name="_xlnm.Print_Area" localSheetId="3">Short_Tail!$A$1:$N$40,Short_Tail!$A$42:$N$86,Short_Tail!$P$1:$AC$40,Short_Tail!$P$42:$AC$86</definedName>
    <definedName name="_xlnm.Print_Area" localSheetId="4">Total_MonteCarlo!$A$1:$N$59,Total_MonteCarlo!$A$61:$N$105,Total_MonteCarlo!$P$1:$AC$59,Total_MonteCarlo!$P$61:$AC$105</definedName>
    <definedName name="RA_Distr_Gross">Total_MonteCarlo!$N$30:$N$51</definedName>
    <definedName name="RA_Distr_Net">Total_MonteCarlo!$AC$30:$AC$51</definedName>
    <definedName name="Remaining_FCF_Gross" localSheetId="3">Short_Tail!$C$56:$M$56</definedName>
    <definedName name="Remaining_FCF_Gross">Long_Tail!$C$56:$M$56</definedName>
    <definedName name="Remaining_FCF_Net" localSheetId="3">Short_Tail!$R$56:$AB$56</definedName>
    <definedName name="Remaining_FCF_Net">Long_Tail!$R$56:$AB$56</definedName>
    <definedName name="Rf_Rate">Total_MonteCarlo!$C$72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999</definedName>
    <definedName name="RiskHasSettings" hidden="1">7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electedCell" hidden="1">"$D$16"</definedName>
    <definedName name="RiskSelectedNameCell1" hidden="1">"$C$10"</definedName>
    <definedName name="RiskStandardRecalc" hidden="1">1</definedName>
    <definedName name="RiskSwapState" hidden="1">TRUE</definedName>
    <definedName name="RiskUpdateDisplay" hidden="1">FALSE</definedName>
    <definedName name="RiskUseDifferentSeedForEachSim" hidden="1">FALSE</definedName>
    <definedName name="RiskUseFixedSeed" hidden="1">TRUE</definedName>
    <definedName name="RiskUseMultipleCPUs" hidden="1">TRUE</definedName>
    <definedName name="Selected_Risk_Appetite_Percentile">Total_MonteCarlo!$C$68</definedName>
    <definedName name="Selected_VaR">Total_MonteCarlo!$B$54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54" i="5" l="1"/>
  <c r="R54" i="5"/>
  <c r="P87" i="1"/>
  <c r="A85" i="1"/>
  <c r="A87" i="1"/>
  <c r="P71" i="2"/>
  <c r="A71" i="2"/>
  <c r="P71" i="1"/>
  <c r="A71" i="1"/>
  <c r="G40" i="2"/>
  <c r="V40" i="2"/>
  <c r="V40" i="1"/>
  <c r="G40" i="1"/>
  <c r="X72" i="11"/>
  <c r="W72" i="11"/>
  <c r="V72" i="11"/>
  <c r="U72" i="11"/>
  <c r="J72" i="11"/>
  <c r="I72" i="11"/>
  <c r="H72" i="11"/>
  <c r="G72" i="11"/>
  <c r="D23" i="1" l="1"/>
  <c r="Q29" i="5" l="1"/>
  <c r="Q21" i="5"/>
  <c r="S19" i="5" s="1"/>
  <c r="Q20" i="5"/>
  <c r="R19" i="5"/>
  <c r="D19" i="5"/>
  <c r="C19" i="5"/>
  <c r="AC2" i="5"/>
  <c r="AC62" i="5" s="1"/>
  <c r="AC1" i="5"/>
  <c r="AC61" i="5" s="1"/>
  <c r="P64" i="5"/>
  <c r="P63" i="5"/>
  <c r="P62" i="5"/>
  <c r="P61" i="5"/>
  <c r="N62" i="5"/>
  <c r="N61" i="5"/>
  <c r="A64" i="5"/>
  <c r="A63" i="5"/>
  <c r="A62" i="5"/>
  <c r="A61" i="5"/>
  <c r="B21" i="5"/>
  <c r="B20" i="5"/>
  <c r="AC2" i="2"/>
  <c r="AC43" i="2" s="1"/>
  <c r="AC1" i="2"/>
  <c r="P45" i="2"/>
  <c r="A45" i="2"/>
  <c r="A44" i="2"/>
  <c r="P43" i="2"/>
  <c r="N43" i="2"/>
  <c r="A43" i="2"/>
  <c r="AC42" i="2"/>
  <c r="N42" i="2"/>
  <c r="A42" i="2"/>
  <c r="P45" i="1"/>
  <c r="P44" i="1"/>
  <c r="P43" i="1"/>
  <c r="AC42" i="1"/>
  <c r="P42" i="1"/>
  <c r="AC2" i="1"/>
  <c r="AC43" i="1" s="1"/>
  <c r="AC1" i="1"/>
  <c r="P3" i="1"/>
  <c r="N42" i="1"/>
  <c r="N43" i="1"/>
  <c r="A44" i="1"/>
  <c r="P27" i="2"/>
  <c r="P16" i="2"/>
  <c r="P15" i="2"/>
  <c r="A27" i="2"/>
  <c r="A16" i="2"/>
  <c r="A15" i="2"/>
  <c r="P27" i="1"/>
  <c r="P16" i="1"/>
  <c r="P15" i="1"/>
  <c r="A27" i="1"/>
  <c r="A16" i="1"/>
  <c r="A15" i="1"/>
  <c r="AC73" i="11" l="1"/>
  <c r="AC72" i="11"/>
  <c r="AC71" i="11"/>
  <c r="AC70" i="11"/>
  <c r="AC68" i="11"/>
  <c r="AC67" i="11"/>
  <c r="AC66" i="11"/>
  <c r="AC65" i="11"/>
  <c r="AC63" i="11"/>
  <c r="AC62" i="11"/>
  <c r="AC61" i="11"/>
  <c r="AC60" i="11"/>
  <c r="AC58" i="11"/>
  <c r="AC55" i="11"/>
  <c r="AC54" i="11"/>
  <c r="AC53" i="11"/>
  <c r="AC51" i="11"/>
  <c r="AC50" i="11"/>
  <c r="AC49" i="11"/>
  <c r="AC47" i="11"/>
  <c r="AC46" i="11"/>
  <c r="AC45" i="11"/>
  <c r="AC43" i="11"/>
  <c r="AC41" i="11"/>
  <c r="AC40" i="11"/>
  <c r="AC39" i="11"/>
  <c r="AC37" i="11"/>
  <c r="AC36" i="11"/>
  <c r="AC35" i="11"/>
  <c r="AC33" i="11"/>
  <c r="AC32" i="11"/>
  <c r="AC31" i="11"/>
  <c r="AC29" i="11"/>
  <c r="AC27" i="11"/>
  <c r="AC26" i="11"/>
  <c r="AC25" i="11"/>
  <c r="AC23" i="11"/>
  <c r="O73" i="11"/>
  <c r="O68" i="11"/>
  <c r="O63" i="11"/>
  <c r="O55" i="11"/>
  <c r="O54" i="11"/>
  <c r="O51" i="11"/>
  <c r="O50" i="11"/>
  <c r="O47" i="11"/>
  <c r="O46" i="11"/>
  <c r="O41" i="11"/>
  <c r="O40" i="11"/>
  <c r="O37" i="11"/>
  <c r="O36" i="11"/>
  <c r="O33" i="11"/>
  <c r="O32" i="11"/>
  <c r="O27" i="11"/>
  <c r="O26" i="11"/>
  <c r="O70" i="11"/>
  <c r="O65" i="11"/>
  <c r="O60" i="11"/>
  <c r="O53" i="11"/>
  <c r="O49" i="11"/>
  <c r="O45" i="11"/>
  <c r="O43" i="11"/>
  <c r="O39" i="11"/>
  <c r="O35" i="11"/>
  <c r="O31" i="11"/>
  <c r="O29" i="11"/>
  <c r="O25" i="11"/>
  <c r="A72" i="11"/>
  <c r="O72" i="11" s="1"/>
  <c r="A71" i="11"/>
  <c r="O71" i="11" s="1"/>
  <c r="A67" i="11"/>
  <c r="O67" i="11" s="1"/>
  <c r="A66" i="11"/>
  <c r="O66" i="11" s="1"/>
  <c r="A62" i="11"/>
  <c r="O62" i="11" s="1"/>
  <c r="A61" i="11"/>
  <c r="O61" i="11" s="1"/>
  <c r="A55" i="11"/>
  <c r="A54" i="11"/>
  <c r="A51" i="11"/>
  <c r="A50" i="11"/>
  <c r="A47" i="11"/>
  <c r="A46" i="11"/>
  <c r="A41" i="11"/>
  <c r="A40" i="11"/>
  <c r="A37" i="11"/>
  <c r="A36" i="11"/>
  <c r="A33" i="11"/>
  <c r="A32" i="11"/>
  <c r="O23" i="11"/>
  <c r="O12" i="11"/>
  <c r="AC12" i="11" s="1"/>
  <c r="O58" i="11"/>
  <c r="Z7" i="11"/>
  <c r="AN7" i="11" s="1"/>
  <c r="U7" i="11"/>
  <c r="AI7" i="11" s="1"/>
  <c r="P7" i="11"/>
  <c r="AD7" i="11" s="1"/>
  <c r="P8" i="11"/>
  <c r="P6" i="11"/>
  <c r="AD6" i="11" s="1"/>
  <c r="C8" i="11"/>
  <c r="Q8" i="11" s="1"/>
  <c r="O10" i="11"/>
  <c r="AC10" i="11" s="1"/>
  <c r="O3" i="11"/>
  <c r="AC3" i="11" s="1"/>
  <c r="AA2" i="11"/>
  <c r="AO2" i="11" s="1"/>
  <c r="AA1" i="11"/>
  <c r="AO1" i="11" s="1"/>
  <c r="D8" i="11" l="1"/>
  <c r="E8" i="11" s="1"/>
  <c r="G8" i="11" s="1"/>
  <c r="H8" i="11" s="1"/>
  <c r="I8" i="11" s="1"/>
  <c r="J8" i="11" s="1"/>
  <c r="L8" i="11" s="1"/>
  <c r="M8" i="11" s="1"/>
  <c r="AA8" i="11" s="1"/>
  <c r="AC4" i="11"/>
  <c r="AE8" i="11"/>
  <c r="AF8" i="11" s="1"/>
  <c r="AG8" i="11" s="1"/>
  <c r="AI8" i="11" s="1"/>
  <c r="AJ8" i="11" s="1"/>
  <c r="AK8" i="11" s="1"/>
  <c r="AL8" i="11" s="1"/>
  <c r="AN8" i="11" s="1"/>
  <c r="AO8" i="11" s="1"/>
  <c r="AC2" i="11"/>
  <c r="AC1" i="11"/>
  <c r="O4" i="11"/>
  <c r="R8" i="11" l="1"/>
  <c r="X8" i="11"/>
  <c r="Z8" i="11"/>
  <c r="S8" i="11"/>
  <c r="V8" i="11"/>
  <c r="U8" i="11"/>
  <c r="W8" i="11"/>
  <c r="P57" i="5"/>
  <c r="A57" i="5"/>
  <c r="P59" i="5"/>
  <c r="A59" i="5"/>
  <c r="V38" i="2"/>
  <c r="G38" i="2"/>
  <c r="V38" i="1"/>
  <c r="G38" i="1"/>
  <c r="P95" i="5"/>
  <c r="A95" i="5"/>
  <c r="P91" i="5"/>
  <c r="P76" i="2"/>
  <c r="A76" i="2"/>
  <c r="P72" i="2"/>
  <c r="A72" i="2"/>
  <c r="P69" i="2"/>
  <c r="A69" i="2"/>
  <c r="P76" i="1"/>
  <c r="A76" i="1"/>
  <c r="P72" i="1"/>
  <c r="A72" i="1"/>
  <c r="P69" i="1"/>
  <c r="A69" i="1"/>
  <c r="A91" i="5" l="1"/>
  <c r="P90" i="5"/>
  <c r="P88" i="5"/>
  <c r="A88" i="5"/>
  <c r="A90" i="5"/>
  <c r="D21" i="5"/>
  <c r="D20" i="5"/>
  <c r="P104" i="5" l="1"/>
  <c r="A104" i="5"/>
  <c r="P94" i="5"/>
  <c r="A94" i="5"/>
  <c r="R68" i="5"/>
  <c r="AB51" i="5"/>
  <c r="AA51" i="5"/>
  <c r="Z51" i="5"/>
  <c r="Y51" i="5"/>
  <c r="X51" i="5"/>
  <c r="W51" i="5"/>
  <c r="V51" i="5"/>
  <c r="U51" i="5"/>
  <c r="T51" i="5"/>
  <c r="S51" i="5"/>
  <c r="R51" i="5"/>
  <c r="M51" i="5"/>
  <c r="L51" i="5"/>
  <c r="K51" i="5"/>
  <c r="J51" i="5"/>
  <c r="I51" i="5"/>
  <c r="H51" i="5"/>
  <c r="G51" i="5"/>
  <c r="F51" i="5"/>
  <c r="E51" i="5"/>
  <c r="D51" i="5"/>
  <c r="C51" i="5"/>
  <c r="AB50" i="5"/>
  <c r="AA50" i="5"/>
  <c r="Z50" i="5"/>
  <c r="Y50" i="5"/>
  <c r="X50" i="5"/>
  <c r="W50" i="5"/>
  <c r="V50" i="5"/>
  <c r="U50" i="5"/>
  <c r="T50" i="5"/>
  <c r="S50" i="5"/>
  <c r="R50" i="5"/>
  <c r="M50" i="5"/>
  <c r="L50" i="5"/>
  <c r="K50" i="5"/>
  <c r="J50" i="5"/>
  <c r="I50" i="5"/>
  <c r="H50" i="5"/>
  <c r="G50" i="5"/>
  <c r="F50" i="5"/>
  <c r="E50" i="5"/>
  <c r="D50" i="5"/>
  <c r="C50" i="5"/>
  <c r="AB49" i="5"/>
  <c r="AA49" i="5"/>
  <c r="Z49" i="5"/>
  <c r="Y49" i="5"/>
  <c r="X49" i="5"/>
  <c r="W49" i="5"/>
  <c r="V49" i="5"/>
  <c r="U49" i="5"/>
  <c r="T49" i="5"/>
  <c r="S49" i="5"/>
  <c r="R49" i="5"/>
  <c r="M49" i="5"/>
  <c r="L49" i="5"/>
  <c r="K49" i="5"/>
  <c r="J49" i="5"/>
  <c r="I49" i="5"/>
  <c r="H49" i="5"/>
  <c r="G49" i="5"/>
  <c r="F49" i="5"/>
  <c r="E49" i="5"/>
  <c r="D49" i="5"/>
  <c r="C49" i="5"/>
  <c r="AB48" i="5"/>
  <c r="AA48" i="5"/>
  <c r="Z48" i="5"/>
  <c r="Y48" i="5"/>
  <c r="X48" i="5"/>
  <c r="W48" i="5"/>
  <c r="V48" i="5"/>
  <c r="U48" i="5"/>
  <c r="T48" i="5"/>
  <c r="S48" i="5"/>
  <c r="R48" i="5"/>
  <c r="M48" i="5"/>
  <c r="L48" i="5"/>
  <c r="K48" i="5"/>
  <c r="J48" i="5"/>
  <c r="I48" i="5"/>
  <c r="H48" i="5"/>
  <c r="G48" i="5"/>
  <c r="F48" i="5"/>
  <c r="E48" i="5"/>
  <c r="D48" i="5"/>
  <c r="C48" i="5"/>
  <c r="AB47" i="5"/>
  <c r="AA47" i="5"/>
  <c r="Z47" i="5"/>
  <c r="Y47" i="5"/>
  <c r="X47" i="5"/>
  <c r="W47" i="5"/>
  <c r="V47" i="5"/>
  <c r="U47" i="5"/>
  <c r="T47" i="5"/>
  <c r="S47" i="5"/>
  <c r="R47" i="5"/>
  <c r="M47" i="5"/>
  <c r="L47" i="5"/>
  <c r="K47" i="5"/>
  <c r="J47" i="5"/>
  <c r="I47" i="5"/>
  <c r="H47" i="5"/>
  <c r="G47" i="5"/>
  <c r="F47" i="5"/>
  <c r="E47" i="5"/>
  <c r="D47" i="5"/>
  <c r="C47" i="5"/>
  <c r="AB46" i="5"/>
  <c r="AA46" i="5"/>
  <c r="Z46" i="5"/>
  <c r="Y46" i="5"/>
  <c r="X46" i="5"/>
  <c r="W46" i="5"/>
  <c r="V46" i="5"/>
  <c r="U46" i="5"/>
  <c r="T46" i="5"/>
  <c r="S46" i="5"/>
  <c r="R46" i="5"/>
  <c r="M46" i="5"/>
  <c r="L46" i="5"/>
  <c r="K46" i="5"/>
  <c r="J46" i="5"/>
  <c r="I46" i="5"/>
  <c r="H46" i="5"/>
  <c r="G46" i="5"/>
  <c r="F46" i="5"/>
  <c r="E46" i="5"/>
  <c r="D46" i="5"/>
  <c r="C46" i="5"/>
  <c r="AB45" i="5"/>
  <c r="AA45" i="5"/>
  <c r="Z45" i="5"/>
  <c r="Y45" i="5"/>
  <c r="X45" i="5"/>
  <c r="W45" i="5"/>
  <c r="V45" i="5"/>
  <c r="U45" i="5"/>
  <c r="T45" i="5"/>
  <c r="S45" i="5"/>
  <c r="R45" i="5"/>
  <c r="M45" i="5"/>
  <c r="L45" i="5"/>
  <c r="K45" i="5"/>
  <c r="J45" i="5"/>
  <c r="I45" i="5"/>
  <c r="H45" i="5"/>
  <c r="G45" i="5"/>
  <c r="F45" i="5"/>
  <c r="E45" i="5"/>
  <c r="D45" i="5"/>
  <c r="C45" i="5"/>
  <c r="AB44" i="5"/>
  <c r="AA44" i="5"/>
  <c r="Z44" i="5"/>
  <c r="Y44" i="5"/>
  <c r="X44" i="5"/>
  <c r="W44" i="5"/>
  <c r="V44" i="5"/>
  <c r="U44" i="5"/>
  <c r="T44" i="5"/>
  <c r="S44" i="5"/>
  <c r="R44" i="5"/>
  <c r="M44" i="5"/>
  <c r="L44" i="5"/>
  <c r="K44" i="5"/>
  <c r="J44" i="5"/>
  <c r="I44" i="5"/>
  <c r="H44" i="5"/>
  <c r="G44" i="5"/>
  <c r="F44" i="5"/>
  <c r="E44" i="5"/>
  <c r="D44" i="5"/>
  <c r="C44" i="5"/>
  <c r="AB43" i="5"/>
  <c r="AA43" i="5"/>
  <c r="Z43" i="5"/>
  <c r="Y43" i="5"/>
  <c r="X43" i="5"/>
  <c r="W43" i="5"/>
  <c r="V43" i="5"/>
  <c r="U43" i="5"/>
  <c r="T43" i="5"/>
  <c r="S43" i="5"/>
  <c r="R43" i="5"/>
  <c r="M43" i="5"/>
  <c r="L43" i="5"/>
  <c r="K43" i="5"/>
  <c r="J43" i="5"/>
  <c r="I43" i="5"/>
  <c r="H43" i="5"/>
  <c r="G43" i="5"/>
  <c r="F43" i="5"/>
  <c r="E43" i="5"/>
  <c r="D43" i="5"/>
  <c r="C43" i="5"/>
  <c r="AB42" i="5"/>
  <c r="AA42" i="5"/>
  <c r="Z42" i="5"/>
  <c r="Y42" i="5"/>
  <c r="X42" i="5"/>
  <c r="W42" i="5"/>
  <c r="V42" i="5"/>
  <c r="U42" i="5"/>
  <c r="T42" i="5"/>
  <c r="S42" i="5"/>
  <c r="R42" i="5"/>
  <c r="M42" i="5"/>
  <c r="L42" i="5"/>
  <c r="K42" i="5"/>
  <c r="J42" i="5"/>
  <c r="I42" i="5"/>
  <c r="H42" i="5"/>
  <c r="G42" i="5"/>
  <c r="F42" i="5"/>
  <c r="E42" i="5"/>
  <c r="D42" i="5"/>
  <c r="C42" i="5"/>
  <c r="AB41" i="5"/>
  <c r="AA41" i="5"/>
  <c r="Z41" i="5"/>
  <c r="Y41" i="5"/>
  <c r="X41" i="5"/>
  <c r="W41" i="5"/>
  <c r="V41" i="5"/>
  <c r="U41" i="5"/>
  <c r="T41" i="5"/>
  <c r="S41" i="5"/>
  <c r="R41" i="5"/>
  <c r="M41" i="5"/>
  <c r="L41" i="5"/>
  <c r="K41" i="5"/>
  <c r="J41" i="5"/>
  <c r="I41" i="5"/>
  <c r="H41" i="5"/>
  <c r="G41" i="5"/>
  <c r="F41" i="5"/>
  <c r="E41" i="5"/>
  <c r="D41" i="5"/>
  <c r="C41" i="5"/>
  <c r="AB40" i="5"/>
  <c r="AA40" i="5"/>
  <c r="Z40" i="5"/>
  <c r="Y40" i="5"/>
  <c r="X40" i="5"/>
  <c r="W40" i="5"/>
  <c r="V40" i="5"/>
  <c r="U40" i="5"/>
  <c r="T40" i="5"/>
  <c r="S40" i="5"/>
  <c r="R40" i="5"/>
  <c r="M40" i="5"/>
  <c r="L40" i="5"/>
  <c r="K40" i="5"/>
  <c r="J40" i="5"/>
  <c r="I40" i="5"/>
  <c r="H40" i="5"/>
  <c r="G40" i="5"/>
  <c r="F40" i="5"/>
  <c r="E40" i="5"/>
  <c r="D40" i="5"/>
  <c r="C40" i="5"/>
  <c r="AB39" i="5"/>
  <c r="AA39" i="5"/>
  <c r="Z39" i="5"/>
  <c r="Y39" i="5"/>
  <c r="X39" i="5"/>
  <c r="W39" i="5"/>
  <c r="V39" i="5"/>
  <c r="U39" i="5"/>
  <c r="T39" i="5"/>
  <c r="S39" i="5"/>
  <c r="R39" i="5"/>
  <c r="M39" i="5"/>
  <c r="L39" i="5"/>
  <c r="K39" i="5"/>
  <c r="J39" i="5"/>
  <c r="I39" i="5"/>
  <c r="H39" i="5"/>
  <c r="G39" i="5"/>
  <c r="F39" i="5"/>
  <c r="E39" i="5"/>
  <c r="D39" i="5"/>
  <c r="C39" i="5"/>
  <c r="AB38" i="5"/>
  <c r="AA38" i="5"/>
  <c r="Z38" i="5"/>
  <c r="Y38" i="5"/>
  <c r="X38" i="5"/>
  <c r="W38" i="5"/>
  <c r="V38" i="5"/>
  <c r="U38" i="5"/>
  <c r="T38" i="5"/>
  <c r="S38" i="5"/>
  <c r="R38" i="5"/>
  <c r="M38" i="5"/>
  <c r="L38" i="5"/>
  <c r="K38" i="5"/>
  <c r="J38" i="5"/>
  <c r="I38" i="5"/>
  <c r="H38" i="5"/>
  <c r="G38" i="5"/>
  <c r="F38" i="5"/>
  <c r="E38" i="5"/>
  <c r="D38" i="5"/>
  <c r="C38" i="5"/>
  <c r="AB37" i="5"/>
  <c r="AA37" i="5"/>
  <c r="Z37" i="5"/>
  <c r="Y37" i="5"/>
  <c r="X37" i="5"/>
  <c r="W37" i="5"/>
  <c r="V37" i="5"/>
  <c r="U37" i="5"/>
  <c r="T37" i="5"/>
  <c r="S37" i="5"/>
  <c r="R37" i="5"/>
  <c r="M37" i="5"/>
  <c r="L37" i="5"/>
  <c r="K37" i="5"/>
  <c r="J37" i="5"/>
  <c r="I37" i="5"/>
  <c r="H37" i="5"/>
  <c r="G37" i="5"/>
  <c r="F37" i="5"/>
  <c r="E37" i="5"/>
  <c r="D37" i="5"/>
  <c r="C37" i="5"/>
  <c r="AB36" i="5"/>
  <c r="AA36" i="5"/>
  <c r="Z36" i="5"/>
  <c r="Y36" i="5"/>
  <c r="X36" i="5"/>
  <c r="W36" i="5"/>
  <c r="V36" i="5"/>
  <c r="U36" i="5"/>
  <c r="T36" i="5"/>
  <c r="S36" i="5"/>
  <c r="R36" i="5"/>
  <c r="M36" i="5"/>
  <c r="L36" i="5"/>
  <c r="K36" i="5"/>
  <c r="J36" i="5"/>
  <c r="I36" i="5"/>
  <c r="H36" i="5"/>
  <c r="G36" i="5"/>
  <c r="F36" i="5"/>
  <c r="E36" i="5"/>
  <c r="D36" i="5"/>
  <c r="C36" i="5"/>
  <c r="AB35" i="5"/>
  <c r="AA35" i="5"/>
  <c r="Z35" i="5"/>
  <c r="Y35" i="5"/>
  <c r="X35" i="5"/>
  <c r="W35" i="5"/>
  <c r="V35" i="5"/>
  <c r="U35" i="5"/>
  <c r="T35" i="5"/>
  <c r="S35" i="5"/>
  <c r="R35" i="5"/>
  <c r="M35" i="5"/>
  <c r="L35" i="5"/>
  <c r="K35" i="5"/>
  <c r="J35" i="5"/>
  <c r="I35" i="5"/>
  <c r="H35" i="5"/>
  <c r="G35" i="5"/>
  <c r="F35" i="5"/>
  <c r="E35" i="5"/>
  <c r="D35" i="5"/>
  <c r="C35" i="5"/>
  <c r="AB34" i="5"/>
  <c r="AA34" i="5"/>
  <c r="Z34" i="5"/>
  <c r="Y34" i="5"/>
  <c r="X34" i="5"/>
  <c r="W34" i="5"/>
  <c r="V34" i="5"/>
  <c r="U34" i="5"/>
  <c r="T34" i="5"/>
  <c r="S34" i="5"/>
  <c r="R34" i="5"/>
  <c r="M34" i="5"/>
  <c r="L34" i="5"/>
  <c r="K34" i="5"/>
  <c r="J34" i="5"/>
  <c r="I34" i="5"/>
  <c r="H34" i="5"/>
  <c r="G34" i="5"/>
  <c r="F34" i="5"/>
  <c r="E34" i="5"/>
  <c r="D34" i="5"/>
  <c r="C34" i="5"/>
  <c r="AB33" i="5"/>
  <c r="AA33" i="5"/>
  <c r="Z33" i="5"/>
  <c r="Y33" i="5"/>
  <c r="X33" i="5"/>
  <c r="W33" i="5"/>
  <c r="V33" i="5"/>
  <c r="U33" i="5"/>
  <c r="T33" i="5"/>
  <c r="S33" i="5"/>
  <c r="R33" i="5"/>
  <c r="M33" i="5"/>
  <c r="L33" i="5"/>
  <c r="K33" i="5"/>
  <c r="J33" i="5"/>
  <c r="I33" i="5"/>
  <c r="H33" i="5"/>
  <c r="G33" i="5"/>
  <c r="F33" i="5"/>
  <c r="E33" i="5"/>
  <c r="D33" i="5"/>
  <c r="C33" i="5"/>
  <c r="AB32" i="5"/>
  <c r="AA32" i="5"/>
  <c r="Z32" i="5"/>
  <c r="Y32" i="5"/>
  <c r="X32" i="5"/>
  <c r="W32" i="5"/>
  <c r="V32" i="5"/>
  <c r="U32" i="5"/>
  <c r="T32" i="5"/>
  <c r="S32" i="5"/>
  <c r="R32" i="5"/>
  <c r="M32" i="5"/>
  <c r="L32" i="5"/>
  <c r="K32" i="5"/>
  <c r="J32" i="5"/>
  <c r="I32" i="5"/>
  <c r="H32" i="5"/>
  <c r="G32" i="5"/>
  <c r="F32" i="5"/>
  <c r="E32" i="5"/>
  <c r="D32" i="5"/>
  <c r="C32" i="5"/>
  <c r="AB31" i="5"/>
  <c r="AA31" i="5"/>
  <c r="Z31" i="5"/>
  <c r="Y31" i="5"/>
  <c r="X31" i="5"/>
  <c r="W31" i="5"/>
  <c r="V31" i="5"/>
  <c r="U31" i="5"/>
  <c r="T31" i="5"/>
  <c r="S31" i="5"/>
  <c r="R31" i="5"/>
  <c r="M31" i="5"/>
  <c r="L31" i="5"/>
  <c r="K31" i="5"/>
  <c r="J31" i="5"/>
  <c r="I31" i="5"/>
  <c r="H31" i="5"/>
  <c r="G31" i="5"/>
  <c r="F31" i="5"/>
  <c r="E31" i="5"/>
  <c r="D31" i="5"/>
  <c r="C31" i="5"/>
  <c r="AB30" i="5"/>
  <c r="AA30" i="5"/>
  <c r="Z30" i="5"/>
  <c r="Y30" i="5"/>
  <c r="X30" i="5"/>
  <c r="W30" i="5"/>
  <c r="V30" i="5"/>
  <c r="U30" i="5"/>
  <c r="T30" i="5"/>
  <c r="S30" i="5"/>
  <c r="R30" i="5"/>
  <c r="M30" i="5"/>
  <c r="L30" i="5"/>
  <c r="K30" i="5"/>
  <c r="J30" i="5"/>
  <c r="I30" i="5"/>
  <c r="H30" i="5"/>
  <c r="G30" i="5"/>
  <c r="F30" i="5"/>
  <c r="E30" i="5"/>
  <c r="D30" i="5"/>
  <c r="C30" i="5"/>
  <c r="R10" i="5"/>
  <c r="C10" i="5"/>
  <c r="AB9" i="5"/>
  <c r="AA9" i="5"/>
  <c r="Z9" i="5"/>
  <c r="Z77" i="5" s="1"/>
  <c r="Y9" i="5"/>
  <c r="Y77" i="5" s="1"/>
  <c r="X9" i="5"/>
  <c r="W9" i="5"/>
  <c r="W77" i="5" s="1"/>
  <c r="V9" i="5"/>
  <c r="U9" i="5"/>
  <c r="T9" i="5"/>
  <c r="S9" i="5"/>
  <c r="R9" i="5"/>
  <c r="M9" i="5"/>
  <c r="M77" i="5" s="1"/>
  <c r="L9" i="5"/>
  <c r="K9" i="5"/>
  <c r="K77" i="5" s="1"/>
  <c r="J9" i="5"/>
  <c r="I9" i="5"/>
  <c r="H9" i="5"/>
  <c r="G9" i="5"/>
  <c r="G77" i="5" s="1"/>
  <c r="F9" i="5"/>
  <c r="F77" i="5" s="1"/>
  <c r="E9" i="5"/>
  <c r="E77" i="5" s="1"/>
  <c r="D9" i="5"/>
  <c r="C9" i="5"/>
  <c r="C69" i="5" s="1"/>
  <c r="P85" i="2"/>
  <c r="A85" i="2"/>
  <c r="P75" i="2"/>
  <c r="A75" i="2"/>
  <c r="R49" i="2"/>
  <c r="C49" i="2"/>
  <c r="P85" i="1"/>
  <c r="P75" i="1"/>
  <c r="A75" i="1"/>
  <c r="R49" i="1"/>
  <c r="C49" i="1"/>
  <c r="S14" i="11"/>
  <c r="R14" i="11"/>
  <c r="Q14" i="11"/>
  <c r="P14" i="11"/>
  <c r="R83" i="5"/>
  <c r="O2" i="11"/>
  <c r="O1" i="11"/>
  <c r="A4" i="11"/>
  <c r="A2" i="11"/>
  <c r="A1" i="11"/>
  <c r="AB79" i="5"/>
  <c r="AA79" i="5"/>
  <c r="Z79" i="5"/>
  <c r="Y79" i="5"/>
  <c r="X79" i="5"/>
  <c r="W79" i="5"/>
  <c r="V79" i="5"/>
  <c r="U79" i="5"/>
  <c r="T79" i="5"/>
  <c r="S79" i="5"/>
  <c r="R79" i="5"/>
  <c r="R72" i="5"/>
  <c r="P3" i="5"/>
  <c r="P4" i="5"/>
  <c r="P105" i="5"/>
  <c r="T101" i="5"/>
  <c r="P93" i="5"/>
  <c r="P92" i="5"/>
  <c r="P89" i="5"/>
  <c r="P87" i="5"/>
  <c r="T84" i="5"/>
  <c r="P58" i="5"/>
  <c r="P24" i="5"/>
  <c r="S21" i="5"/>
  <c r="S20" i="5"/>
  <c r="P15" i="5"/>
  <c r="P14" i="5"/>
  <c r="P2" i="5"/>
  <c r="P1" i="5"/>
  <c r="P86" i="2"/>
  <c r="T82" i="2"/>
  <c r="P74" i="2"/>
  <c r="P73" i="2"/>
  <c r="P70" i="2"/>
  <c r="P68" i="2"/>
  <c r="T65" i="2"/>
  <c r="R64" i="2"/>
  <c r="AB60" i="2"/>
  <c r="AA60" i="2"/>
  <c r="Z60" i="2"/>
  <c r="Y60" i="2"/>
  <c r="X60" i="2"/>
  <c r="W60" i="2"/>
  <c r="V60" i="2"/>
  <c r="U60" i="2"/>
  <c r="T60" i="2"/>
  <c r="S60" i="2"/>
  <c r="R60" i="2"/>
  <c r="R53" i="2"/>
  <c r="V39" i="2"/>
  <c r="W35" i="2"/>
  <c r="P26" i="2"/>
  <c r="R23" i="2"/>
  <c r="S23" i="2" s="1"/>
  <c r="P17" i="2"/>
  <c r="R12" i="2"/>
  <c r="P3" i="2"/>
  <c r="P44" i="2" s="1"/>
  <c r="P4" i="2"/>
  <c r="P2" i="2"/>
  <c r="AB60" i="1"/>
  <c r="AA60" i="1"/>
  <c r="Z60" i="1"/>
  <c r="Y60" i="1"/>
  <c r="X60" i="1"/>
  <c r="W60" i="1"/>
  <c r="V60" i="1"/>
  <c r="U60" i="1"/>
  <c r="T60" i="1"/>
  <c r="S60" i="1"/>
  <c r="R60" i="1"/>
  <c r="P4" i="1"/>
  <c r="T82" i="1"/>
  <c r="P74" i="1"/>
  <c r="P73" i="1"/>
  <c r="P70" i="1"/>
  <c r="P68" i="1"/>
  <c r="T65" i="1"/>
  <c r="R64" i="1"/>
  <c r="R53" i="1"/>
  <c r="V39" i="1"/>
  <c r="W35" i="1"/>
  <c r="P26" i="1"/>
  <c r="R23" i="1"/>
  <c r="R22" i="1" s="1"/>
  <c r="S22" i="1" s="1"/>
  <c r="P17" i="1"/>
  <c r="R12" i="1"/>
  <c r="A105" i="5"/>
  <c r="A93" i="5"/>
  <c r="A92" i="5"/>
  <c r="A89" i="5"/>
  <c r="A87" i="5"/>
  <c r="A58" i="5"/>
  <c r="A24" i="5"/>
  <c r="A14" i="5"/>
  <c r="A15" i="5"/>
  <c r="A86" i="2"/>
  <c r="A74" i="2"/>
  <c r="A73" i="2"/>
  <c r="A70" i="2"/>
  <c r="A68" i="2"/>
  <c r="G39" i="2"/>
  <c r="A26" i="2"/>
  <c r="A17" i="2"/>
  <c r="A4" i="5"/>
  <c r="A2" i="5"/>
  <c r="A1" i="5"/>
  <c r="G39" i="1"/>
  <c r="A26" i="1"/>
  <c r="A74" i="1"/>
  <c r="A73" i="1"/>
  <c r="A68" i="1"/>
  <c r="C60" i="1"/>
  <c r="A70" i="1"/>
  <c r="C23" i="1"/>
  <c r="A17" i="1"/>
  <c r="A4" i="2"/>
  <c r="A4" i="1"/>
  <c r="A45" i="1" s="1"/>
  <c r="A2" i="2"/>
  <c r="A1" i="2"/>
  <c r="P1" i="2" s="1"/>
  <c r="P42" i="2" s="1"/>
  <c r="A2" i="1"/>
  <c r="A1" i="1"/>
  <c r="M79" i="5"/>
  <c r="L79" i="5"/>
  <c r="K79" i="5"/>
  <c r="J79" i="5"/>
  <c r="I79" i="5"/>
  <c r="H79" i="5"/>
  <c r="G79" i="5"/>
  <c r="F79" i="5"/>
  <c r="E79" i="5"/>
  <c r="D79" i="5"/>
  <c r="C79" i="5"/>
  <c r="M60" i="2"/>
  <c r="L60" i="2"/>
  <c r="K60" i="2"/>
  <c r="J60" i="2"/>
  <c r="I60" i="2"/>
  <c r="H60" i="2"/>
  <c r="G60" i="2"/>
  <c r="F60" i="2"/>
  <c r="E60" i="2"/>
  <c r="D60" i="2"/>
  <c r="C60" i="2"/>
  <c r="M60" i="1"/>
  <c r="L60" i="1"/>
  <c r="K60" i="1"/>
  <c r="J60" i="1"/>
  <c r="I60" i="1"/>
  <c r="H60" i="1"/>
  <c r="G60" i="1"/>
  <c r="F60" i="1"/>
  <c r="E60" i="1"/>
  <c r="D60" i="1"/>
  <c r="C64" i="2"/>
  <c r="C64" i="1"/>
  <c r="H35" i="2"/>
  <c r="C53" i="1"/>
  <c r="C53" i="2"/>
  <c r="C23" i="2"/>
  <c r="C22" i="2" s="1"/>
  <c r="D22" i="2" s="1"/>
  <c r="C12" i="2"/>
  <c r="E84" i="5"/>
  <c r="E101" i="5"/>
  <c r="E82" i="1"/>
  <c r="E65" i="1"/>
  <c r="C12" i="1"/>
  <c r="E65" i="2"/>
  <c r="E82" i="2"/>
  <c r="T77" i="5" l="1"/>
  <c r="H77" i="5"/>
  <c r="AB77" i="5"/>
  <c r="S77" i="5"/>
  <c r="AA77" i="5"/>
  <c r="I77" i="5"/>
  <c r="U77" i="5"/>
  <c r="D77" i="5"/>
  <c r="L77" i="5"/>
  <c r="X77" i="5"/>
  <c r="A43" i="1"/>
  <c r="P2" i="1"/>
  <c r="A42" i="1"/>
  <c r="P1" i="1"/>
  <c r="R22" i="2"/>
  <c r="S22" i="2" s="1"/>
  <c r="X26" i="2" s="1"/>
  <c r="D23" i="2"/>
  <c r="I19" i="2" s="1"/>
  <c r="C22" i="1"/>
  <c r="D22" i="1" s="1"/>
  <c r="I29" i="1" s="1"/>
  <c r="J77" i="5"/>
  <c r="V77" i="5"/>
  <c r="I21" i="11"/>
  <c r="G21" i="11"/>
  <c r="W21" i="11"/>
  <c r="U21" i="11"/>
  <c r="I24" i="2"/>
  <c r="H21" i="11"/>
  <c r="J21" i="11"/>
  <c r="X21" i="11"/>
  <c r="V21" i="11"/>
  <c r="S23" i="1"/>
  <c r="X35" i="1" s="1"/>
  <c r="R69" i="5"/>
  <c r="I20" i="2" l="1"/>
  <c r="X14" i="2"/>
  <c r="X13" i="2"/>
  <c r="I11" i="2"/>
  <c r="X12" i="2"/>
  <c r="I23" i="2"/>
  <c r="X30" i="2"/>
  <c r="X28" i="2"/>
  <c r="X17" i="2"/>
  <c r="I13" i="2"/>
  <c r="D10" i="2"/>
  <c r="C62" i="11" s="1"/>
  <c r="X24" i="2"/>
  <c r="S10" i="2"/>
  <c r="S81" i="2" s="1"/>
  <c r="T81" i="2" s="1"/>
  <c r="X19" i="2"/>
  <c r="X18" i="2"/>
  <c r="Y18" i="2" s="1"/>
  <c r="X31" i="2"/>
  <c r="Y31" i="2" s="1"/>
  <c r="X29" i="2"/>
  <c r="X22" i="2"/>
  <c r="X20" i="2"/>
  <c r="X21" i="2"/>
  <c r="X27" i="2"/>
  <c r="X16" i="2"/>
  <c r="X10" i="2"/>
  <c r="Y10" i="2" s="1"/>
  <c r="X11" i="2"/>
  <c r="Y11" i="2" s="1"/>
  <c r="X23" i="2"/>
  <c r="I25" i="2"/>
  <c r="X25" i="2"/>
  <c r="I22" i="2"/>
  <c r="I16" i="2"/>
  <c r="X35" i="2"/>
  <c r="X15" i="2"/>
  <c r="Y15" i="2" s="1"/>
  <c r="I17" i="2"/>
  <c r="R50" i="2"/>
  <c r="R58" i="2" s="1"/>
  <c r="I26" i="2"/>
  <c r="I18" i="2"/>
  <c r="I31" i="2"/>
  <c r="I35" i="2"/>
  <c r="I30" i="2"/>
  <c r="I29" i="2"/>
  <c r="I28" i="2"/>
  <c r="I14" i="2"/>
  <c r="I15" i="2"/>
  <c r="I27" i="2"/>
  <c r="I12" i="2"/>
  <c r="I21" i="2"/>
  <c r="Z33" i="11"/>
  <c r="Z37" i="11" s="1"/>
  <c r="I10" i="2"/>
  <c r="I10" i="1"/>
  <c r="I17" i="1"/>
  <c r="I30" i="1"/>
  <c r="I11" i="1"/>
  <c r="X18" i="1"/>
  <c r="I16" i="1"/>
  <c r="I25" i="1"/>
  <c r="I21" i="1"/>
  <c r="I22" i="1"/>
  <c r="I26" i="1"/>
  <c r="D10" i="1"/>
  <c r="C61" i="11" s="1"/>
  <c r="I14" i="1"/>
  <c r="AJ21" i="11"/>
  <c r="AL21" i="11"/>
  <c r="AK21" i="11"/>
  <c r="AI21" i="11"/>
  <c r="Y27" i="2"/>
  <c r="I19" i="1"/>
  <c r="I12" i="1"/>
  <c r="I31" i="1"/>
  <c r="I20" i="1"/>
  <c r="I13" i="1"/>
  <c r="I18" i="1"/>
  <c r="I15" i="1"/>
  <c r="I27" i="1"/>
  <c r="I24" i="1"/>
  <c r="I28" i="1"/>
  <c r="Y26" i="2"/>
  <c r="I23" i="1"/>
  <c r="I35" i="1"/>
  <c r="X14" i="1"/>
  <c r="X10" i="1"/>
  <c r="X16" i="1"/>
  <c r="X20" i="1"/>
  <c r="X27" i="1"/>
  <c r="X19" i="1"/>
  <c r="X23" i="1"/>
  <c r="X26" i="1"/>
  <c r="X17" i="1"/>
  <c r="X21" i="1"/>
  <c r="X15" i="1"/>
  <c r="X22" i="1"/>
  <c r="X30" i="1"/>
  <c r="X12" i="1"/>
  <c r="X24" i="1"/>
  <c r="X13" i="1"/>
  <c r="X31" i="1"/>
  <c r="X28" i="1"/>
  <c r="S10" i="1"/>
  <c r="X29" i="1"/>
  <c r="X11" i="1"/>
  <c r="X25" i="1"/>
  <c r="L78" i="5"/>
  <c r="L80" i="5" s="1"/>
  <c r="N50" i="5"/>
  <c r="N46" i="5"/>
  <c r="N42" i="5"/>
  <c r="N38" i="5"/>
  <c r="N34" i="5"/>
  <c r="N30" i="5"/>
  <c r="C11" i="5"/>
  <c r="N51" i="5"/>
  <c r="D21" i="11"/>
  <c r="N47" i="5"/>
  <c r="E21" i="11"/>
  <c r="N43" i="5"/>
  <c r="N39" i="5"/>
  <c r="N35" i="5"/>
  <c r="N31" i="5"/>
  <c r="N48" i="5"/>
  <c r="B21" i="11"/>
  <c r="C21" i="11"/>
  <c r="N44" i="5"/>
  <c r="C54" i="5"/>
  <c r="N54" i="5" s="1"/>
  <c r="N40" i="5"/>
  <c r="N36" i="5"/>
  <c r="N32" i="5"/>
  <c r="N49" i="5"/>
  <c r="C71" i="5"/>
  <c r="N45" i="5"/>
  <c r="N41" i="5"/>
  <c r="N37" i="5"/>
  <c r="N33" i="5"/>
  <c r="H19" i="11"/>
  <c r="I19" i="11"/>
  <c r="G19" i="11"/>
  <c r="J19" i="11"/>
  <c r="AC51" i="5"/>
  <c r="AC47" i="5"/>
  <c r="AC43" i="5"/>
  <c r="AC39" i="5"/>
  <c r="AC35" i="5"/>
  <c r="AC31" i="5"/>
  <c r="R11" i="5"/>
  <c r="AC48" i="5"/>
  <c r="AC54" i="5"/>
  <c r="AC44" i="5"/>
  <c r="AC40" i="5"/>
  <c r="AC36" i="5"/>
  <c r="AC32" i="5"/>
  <c r="W19" i="11"/>
  <c r="V19" i="11"/>
  <c r="U19" i="11"/>
  <c r="X19" i="11"/>
  <c r="AC49" i="5"/>
  <c r="R71" i="5"/>
  <c r="AC45" i="5"/>
  <c r="AC41" i="5"/>
  <c r="AC37" i="5"/>
  <c r="AC33" i="5"/>
  <c r="AC50" i="5"/>
  <c r="AC46" i="5"/>
  <c r="AC42" i="5"/>
  <c r="AC38" i="5"/>
  <c r="AC34" i="5"/>
  <c r="AC30" i="5"/>
  <c r="Y28" i="2" l="1"/>
  <c r="Y23" i="2"/>
  <c r="Y29" i="2"/>
  <c r="U66" i="11" s="1"/>
  <c r="D61" i="11"/>
  <c r="D67" i="11" s="1"/>
  <c r="J13" i="1"/>
  <c r="E61" i="11"/>
  <c r="E67" i="11" s="1"/>
  <c r="Y17" i="2"/>
  <c r="D62" i="11"/>
  <c r="Y12" i="2"/>
  <c r="Y30" i="2"/>
  <c r="Y16" i="2"/>
  <c r="Y19" i="2"/>
  <c r="S11" i="2"/>
  <c r="S12" i="2" s="1"/>
  <c r="S62" i="11"/>
  <c r="Y21" i="2"/>
  <c r="Y24" i="2"/>
  <c r="P62" i="11"/>
  <c r="Y25" i="2"/>
  <c r="Y20" i="2"/>
  <c r="J28" i="2"/>
  <c r="Y13" i="2"/>
  <c r="Q62" i="11"/>
  <c r="AE62" i="11" s="1"/>
  <c r="R62" i="11"/>
  <c r="Y35" i="2"/>
  <c r="S65" i="2" s="1"/>
  <c r="Y22" i="2"/>
  <c r="Y14" i="2"/>
  <c r="J22" i="2"/>
  <c r="J15" i="2"/>
  <c r="J29" i="2"/>
  <c r="I66" i="11" s="1"/>
  <c r="J20" i="2"/>
  <c r="J19" i="2"/>
  <c r="C50" i="2"/>
  <c r="C52" i="2" s="1"/>
  <c r="E58" i="2" s="1"/>
  <c r="E59" i="2" s="1"/>
  <c r="E61" i="2" s="1"/>
  <c r="J30" i="2"/>
  <c r="J25" i="2"/>
  <c r="J16" i="2"/>
  <c r="J13" i="2"/>
  <c r="J10" i="2"/>
  <c r="J35" i="2"/>
  <c r="D65" i="2" s="1"/>
  <c r="J24" i="2"/>
  <c r="J17" i="2"/>
  <c r="J26" i="2"/>
  <c r="J14" i="2"/>
  <c r="J31" i="2"/>
  <c r="J66" i="11" s="1"/>
  <c r="B62" i="11"/>
  <c r="E62" i="11"/>
  <c r="E66" i="11" s="1"/>
  <c r="J21" i="2"/>
  <c r="J23" i="2"/>
  <c r="J12" i="2"/>
  <c r="J18" i="2"/>
  <c r="D11" i="2"/>
  <c r="D12" i="2" s="1"/>
  <c r="D81" i="2"/>
  <c r="E81" i="2" s="1"/>
  <c r="J11" i="2"/>
  <c r="J27" i="2"/>
  <c r="X66" i="11"/>
  <c r="V66" i="11"/>
  <c r="AB58" i="2"/>
  <c r="AB59" i="2" s="1"/>
  <c r="AB61" i="2" s="1"/>
  <c r="W58" i="2"/>
  <c r="W59" i="2" s="1"/>
  <c r="W61" i="2" s="1"/>
  <c r="X58" i="2"/>
  <c r="X59" i="2" s="1"/>
  <c r="X61" i="2" s="1"/>
  <c r="T58" i="2"/>
  <c r="T59" i="2" s="1"/>
  <c r="T61" i="2" s="1"/>
  <c r="S58" i="2"/>
  <c r="S59" i="2" s="1"/>
  <c r="S61" i="2" s="1"/>
  <c r="AA33" i="11"/>
  <c r="AA47" i="11" s="1"/>
  <c r="R52" i="2"/>
  <c r="AA58" i="2"/>
  <c r="AA59" i="2" s="1"/>
  <c r="AA61" i="2" s="1"/>
  <c r="J18" i="1"/>
  <c r="J30" i="1"/>
  <c r="D81" i="1"/>
  <c r="L32" i="11" s="1"/>
  <c r="B61" i="11"/>
  <c r="J16" i="1"/>
  <c r="J15" i="1"/>
  <c r="J20" i="1"/>
  <c r="J31" i="1"/>
  <c r="J22" i="1"/>
  <c r="J35" i="1"/>
  <c r="D82" i="1" s="1"/>
  <c r="C82" i="1" s="1"/>
  <c r="J28" i="1"/>
  <c r="J14" i="1"/>
  <c r="J11" i="1"/>
  <c r="C50" i="1"/>
  <c r="C52" i="1" s="1"/>
  <c r="H58" i="1" s="1"/>
  <c r="H59" i="1" s="1"/>
  <c r="H61" i="1" s="1"/>
  <c r="J23" i="1"/>
  <c r="J24" i="1"/>
  <c r="J25" i="1"/>
  <c r="D11" i="1"/>
  <c r="D12" i="1" s="1"/>
  <c r="Y58" i="2"/>
  <c r="Y59" i="2" s="1"/>
  <c r="Y61" i="2" s="1"/>
  <c r="U58" i="2"/>
  <c r="U59" i="2" s="1"/>
  <c r="U61" i="2" s="1"/>
  <c r="Z58" i="2"/>
  <c r="Z59" i="2" s="1"/>
  <c r="Z61" i="2" s="1"/>
  <c r="Z47" i="11"/>
  <c r="V58" i="2"/>
  <c r="V59" i="2" s="1"/>
  <c r="V61" i="2" s="1"/>
  <c r="J29" i="1"/>
  <c r="J21" i="1"/>
  <c r="J27" i="1"/>
  <c r="J10" i="1"/>
  <c r="C63" i="11"/>
  <c r="C32" i="11" s="1"/>
  <c r="J12" i="1"/>
  <c r="J19" i="1"/>
  <c r="J26" i="1"/>
  <c r="J17" i="1"/>
  <c r="Y10" i="1"/>
  <c r="Y31" i="1"/>
  <c r="Y25" i="1"/>
  <c r="Y14" i="1"/>
  <c r="Z51" i="11"/>
  <c r="Z41" i="11"/>
  <c r="Z55" i="11" s="1"/>
  <c r="Y11" i="1"/>
  <c r="Y21" i="1"/>
  <c r="R77" i="5"/>
  <c r="R78" i="5" s="1"/>
  <c r="R80" i="5" s="1"/>
  <c r="V75" i="5"/>
  <c r="Z75" i="5"/>
  <c r="Y75" i="5"/>
  <c r="S75" i="5"/>
  <c r="AA75" i="5"/>
  <c r="W75" i="5"/>
  <c r="T75" i="5"/>
  <c r="U75" i="5"/>
  <c r="X75" i="5"/>
  <c r="AB75" i="5"/>
  <c r="Y29" i="1"/>
  <c r="Q61" i="11"/>
  <c r="P61" i="11"/>
  <c r="Y28" i="1"/>
  <c r="Y19" i="1"/>
  <c r="Y18" i="1"/>
  <c r="S61" i="11"/>
  <c r="S11" i="1"/>
  <c r="S12" i="1" s="1"/>
  <c r="R61" i="11"/>
  <c r="Y24" i="1"/>
  <c r="Y27" i="1"/>
  <c r="Y17" i="1"/>
  <c r="Y16" i="1"/>
  <c r="Y12" i="1"/>
  <c r="Y22" i="1"/>
  <c r="Y26" i="1"/>
  <c r="S81" i="1"/>
  <c r="R50" i="1"/>
  <c r="R52" i="1" s="1"/>
  <c r="Y20" i="1"/>
  <c r="Y13" i="1"/>
  <c r="Y30" i="1"/>
  <c r="Y15" i="1"/>
  <c r="Y23" i="1"/>
  <c r="Y35" i="1"/>
  <c r="Z78" i="5"/>
  <c r="Z80" i="5" s="1"/>
  <c r="Y78" i="5"/>
  <c r="Y80" i="5" s="1"/>
  <c r="T78" i="5"/>
  <c r="T80" i="5" s="1"/>
  <c r="V78" i="5"/>
  <c r="V80" i="5" s="1"/>
  <c r="L75" i="5"/>
  <c r="H75" i="5"/>
  <c r="I75" i="5"/>
  <c r="F75" i="5"/>
  <c r="M75" i="5"/>
  <c r="K75" i="5"/>
  <c r="G75" i="5"/>
  <c r="E75" i="5"/>
  <c r="D75" i="5"/>
  <c r="J75" i="5"/>
  <c r="C77" i="5"/>
  <c r="C78" i="5" s="1"/>
  <c r="C80" i="5" s="1"/>
  <c r="R59" i="2"/>
  <c r="R61" i="2" s="1"/>
  <c r="H78" i="5"/>
  <c r="H80" i="5" s="1"/>
  <c r="M78" i="5"/>
  <c r="M80" i="5" s="1"/>
  <c r="G78" i="5"/>
  <c r="G80" i="5" s="1"/>
  <c r="K78" i="5"/>
  <c r="K80" i="5" s="1"/>
  <c r="J78" i="5"/>
  <c r="J80" i="5" s="1"/>
  <c r="E78" i="5"/>
  <c r="E80" i="5" s="1"/>
  <c r="I78" i="5"/>
  <c r="I80" i="5" s="1"/>
  <c r="F78" i="5"/>
  <c r="F80" i="5" s="1"/>
  <c r="E19" i="11"/>
  <c r="C19" i="11"/>
  <c r="C66" i="11"/>
  <c r="C67" i="11"/>
  <c r="B19" i="11"/>
  <c r="D19" i="11"/>
  <c r="U14" i="11"/>
  <c r="V14" i="11"/>
  <c r="W14" i="11"/>
  <c r="X14" i="11"/>
  <c r="P21" i="11"/>
  <c r="AD21" i="11" s="1"/>
  <c r="Q21" i="11"/>
  <c r="S21" i="11"/>
  <c r="AG21" i="11" s="1"/>
  <c r="R21" i="11"/>
  <c r="J14" i="11"/>
  <c r="G14" i="11"/>
  <c r="I14" i="11"/>
  <c r="H14" i="11"/>
  <c r="S84" i="5"/>
  <c r="S101" i="5"/>
  <c r="R101" i="5" s="1"/>
  <c r="D84" i="5"/>
  <c r="D101" i="5"/>
  <c r="C101" i="5" s="1"/>
  <c r="I71" i="11" l="1"/>
  <c r="G71" i="11"/>
  <c r="J71" i="11"/>
  <c r="H71" i="11"/>
  <c r="H67" i="11" s="1"/>
  <c r="V71" i="11"/>
  <c r="X71" i="11"/>
  <c r="W71" i="11"/>
  <c r="U71" i="11"/>
  <c r="U67" i="11" s="1"/>
  <c r="U68" i="11" s="1"/>
  <c r="U36" i="11" s="1"/>
  <c r="U50" i="11" s="1"/>
  <c r="W66" i="11"/>
  <c r="H66" i="11"/>
  <c r="R16" i="11"/>
  <c r="D82" i="2"/>
  <c r="C82" i="2" s="1"/>
  <c r="AI72" i="11"/>
  <c r="D65" i="1"/>
  <c r="D63" i="11"/>
  <c r="D32" i="11" s="1"/>
  <c r="D46" i="11" s="1"/>
  <c r="Q16" i="11"/>
  <c r="D66" i="11"/>
  <c r="D68" i="11" s="1"/>
  <c r="D37" i="11" s="1"/>
  <c r="AG62" i="11"/>
  <c r="D100" i="5"/>
  <c r="E100" i="5" s="1"/>
  <c r="AF62" i="11"/>
  <c r="G58" i="2"/>
  <c r="G59" i="2" s="1"/>
  <c r="G61" i="2" s="1"/>
  <c r="S82" i="2"/>
  <c r="R82" i="2" s="1"/>
  <c r="M58" i="2"/>
  <c r="M59" i="2" s="1"/>
  <c r="M61" i="2" s="1"/>
  <c r="C58" i="2"/>
  <c r="C59" i="2" s="1"/>
  <c r="C61" i="2" s="1"/>
  <c r="L33" i="11"/>
  <c r="AN33" i="11" s="1"/>
  <c r="AO33" i="11" s="1"/>
  <c r="AD62" i="11"/>
  <c r="AA37" i="11"/>
  <c r="AA41" i="11" s="1"/>
  <c r="AA55" i="11" s="1"/>
  <c r="E63" i="11"/>
  <c r="E32" i="11" s="1"/>
  <c r="E46" i="11" s="1"/>
  <c r="L58" i="2"/>
  <c r="L59" i="2" s="1"/>
  <c r="L61" i="2" s="1"/>
  <c r="K58" i="2"/>
  <c r="K59" i="2" s="1"/>
  <c r="K61" i="2" s="1"/>
  <c r="D58" i="2"/>
  <c r="D59" i="2" s="1"/>
  <c r="D61" i="2" s="1"/>
  <c r="H58" i="2"/>
  <c r="H59" i="2" s="1"/>
  <c r="H61" i="2" s="1"/>
  <c r="I58" i="2"/>
  <c r="I59" i="2" s="1"/>
  <c r="I61" i="2" s="1"/>
  <c r="F58" i="2"/>
  <c r="F59" i="2" s="1"/>
  <c r="F61" i="2" s="1"/>
  <c r="J58" i="2"/>
  <c r="J59" i="2" s="1"/>
  <c r="J61" i="2" s="1"/>
  <c r="B63" i="11"/>
  <c r="B33" i="11" s="1"/>
  <c r="B47" i="11" s="1"/>
  <c r="B66" i="11"/>
  <c r="B67" i="11"/>
  <c r="E58" i="1"/>
  <c r="E59" i="1" s="1"/>
  <c r="E61" i="1" s="1"/>
  <c r="M58" i="1"/>
  <c r="M59" i="1" s="1"/>
  <c r="M61" i="1" s="1"/>
  <c r="G58" i="1"/>
  <c r="G59" i="1" s="1"/>
  <c r="G61" i="1" s="1"/>
  <c r="F58" i="1"/>
  <c r="F59" i="1" s="1"/>
  <c r="F61" i="1" s="1"/>
  <c r="R65" i="2"/>
  <c r="E81" i="1"/>
  <c r="K58" i="1"/>
  <c r="K59" i="1" s="1"/>
  <c r="K61" i="1" s="1"/>
  <c r="L58" i="1"/>
  <c r="L59" i="1" s="1"/>
  <c r="L61" i="1" s="1"/>
  <c r="C58" i="1"/>
  <c r="C59" i="1" s="1"/>
  <c r="C61" i="1" s="1"/>
  <c r="D58" i="1"/>
  <c r="D59" i="1" s="1"/>
  <c r="D61" i="1" s="1"/>
  <c r="J58" i="1"/>
  <c r="J59" i="1" s="1"/>
  <c r="J61" i="1" s="1"/>
  <c r="I58" i="1"/>
  <c r="I59" i="1" s="1"/>
  <c r="I61" i="1" s="1"/>
  <c r="S64" i="2"/>
  <c r="T64" i="2" s="1"/>
  <c r="C33" i="11"/>
  <c r="C47" i="11" s="1"/>
  <c r="C26" i="11"/>
  <c r="C27" i="11" s="1"/>
  <c r="G67" i="11"/>
  <c r="I67" i="11"/>
  <c r="I68" i="11" s="1"/>
  <c r="I36" i="11" s="1"/>
  <c r="AJ72" i="11"/>
  <c r="AL72" i="11"/>
  <c r="X67" i="11"/>
  <c r="X68" i="11" s="1"/>
  <c r="X36" i="11" s="1"/>
  <c r="X50" i="11" s="1"/>
  <c r="AL71" i="11"/>
  <c r="V67" i="11"/>
  <c r="V68" i="11" s="1"/>
  <c r="V36" i="11" s="1"/>
  <c r="V50" i="11" s="1"/>
  <c r="W67" i="11"/>
  <c r="Q63" i="11"/>
  <c r="AE63" i="11" s="1"/>
  <c r="AE61" i="11"/>
  <c r="R63" i="11"/>
  <c r="AF61" i="11"/>
  <c r="S63" i="11"/>
  <c r="AG61" i="11"/>
  <c r="P63" i="11"/>
  <c r="AD61" i="11"/>
  <c r="AF21" i="11"/>
  <c r="AE21" i="11"/>
  <c r="P16" i="11"/>
  <c r="C16" i="11"/>
  <c r="S16" i="11"/>
  <c r="M32" i="11"/>
  <c r="L36" i="11"/>
  <c r="L46" i="11"/>
  <c r="J73" i="11"/>
  <c r="J32" i="11" s="1"/>
  <c r="J67" i="11"/>
  <c r="J68" i="11" s="1"/>
  <c r="J36" i="11" s="1"/>
  <c r="D16" i="11"/>
  <c r="E16" i="11"/>
  <c r="R58" i="1"/>
  <c r="R59" i="1" s="1"/>
  <c r="R61" i="1" s="1"/>
  <c r="S58" i="1"/>
  <c r="S59" i="1" s="1"/>
  <c r="S61" i="1" s="1"/>
  <c r="U58" i="1"/>
  <c r="U59" i="1" s="1"/>
  <c r="U61" i="1" s="1"/>
  <c r="X58" i="1"/>
  <c r="X59" i="1" s="1"/>
  <c r="X61" i="1" s="1"/>
  <c r="W58" i="1"/>
  <c r="W59" i="1" s="1"/>
  <c r="W61" i="1" s="1"/>
  <c r="T58" i="1"/>
  <c r="T59" i="1" s="1"/>
  <c r="T61" i="1" s="1"/>
  <c r="Z58" i="1"/>
  <c r="Z59" i="1" s="1"/>
  <c r="Z61" i="1" s="1"/>
  <c r="AB58" i="1"/>
  <c r="AB59" i="1" s="1"/>
  <c r="AB61" i="1" s="1"/>
  <c r="Y58" i="1"/>
  <c r="Y59" i="1" s="1"/>
  <c r="Y61" i="1" s="1"/>
  <c r="AA58" i="1"/>
  <c r="AA59" i="1" s="1"/>
  <c r="AA61" i="1" s="1"/>
  <c r="V58" i="1"/>
  <c r="V59" i="1" s="1"/>
  <c r="V61" i="1" s="1"/>
  <c r="V73" i="11"/>
  <c r="Z32" i="11"/>
  <c r="S100" i="5"/>
  <c r="T100" i="5" s="1"/>
  <c r="T81" i="1"/>
  <c r="X73" i="11"/>
  <c r="S65" i="1"/>
  <c r="S82" i="1"/>
  <c r="R82" i="1" s="1"/>
  <c r="B16" i="11"/>
  <c r="X78" i="5"/>
  <c r="X80" i="5" s="1"/>
  <c r="AB78" i="5"/>
  <c r="AB80" i="5" s="1"/>
  <c r="U78" i="5"/>
  <c r="U80" i="5" s="1"/>
  <c r="AA78" i="5"/>
  <c r="AA80" i="5" s="1"/>
  <c r="W78" i="5"/>
  <c r="W80" i="5" s="1"/>
  <c r="S78" i="5"/>
  <c r="S80" i="5" s="1"/>
  <c r="D78" i="5"/>
  <c r="D80" i="5" s="1"/>
  <c r="D83" i="5" s="1"/>
  <c r="E83" i="5" s="1"/>
  <c r="C84" i="5"/>
  <c r="R84" i="5"/>
  <c r="E68" i="11"/>
  <c r="E36" i="11" s="1"/>
  <c r="G61" i="11"/>
  <c r="G62" i="11"/>
  <c r="P66" i="11"/>
  <c r="AD66" i="11" s="1"/>
  <c r="P19" i="11"/>
  <c r="P67" i="11"/>
  <c r="X62" i="11"/>
  <c r="X61" i="11"/>
  <c r="J62" i="11"/>
  <c r="J61" i="11"/>
  <c r="W62" i="11"/>
  <c r="W61" i="11"/>
  <c r="C68" i="11"/>
  <c r="R66" i="11"/>
  <c r="R67" i="11"/>
  <c r="AF67" i="11" s="1"/>
  <c r="R19" i="11"/>
  <c r="V62" i="11"/>
  <c r="V61" i="11"/>
  <c r="H62" i="11"/>
  <c r="H61" i="11"/>
  <c r="S19" i="11"/>
  <c r="S66" i="11"/>
  <c r="AG66" i="11" s="1"/>
  <c r="S67" i="11"/>
  <c r="AG67" i="11" s="1"/>
  <c r="U62" i="11"/>
  <c r="U61" i="11"/>
  <c r="C46" i="11"/>
  <c r="I61" i="11"/>
  <c r="I62" i="11"/>
  <c r="Q19" i="11"/>
  <c r="Q67" i="11"/>
  <c r="AE67" i="11" s="1"/>
  <c r="Q66" i="11"/>
  <c r="AE66" i="11" s="1"/>
  <c r="AJ71" i="11" l="1"/>
  <c r="W73" i="11"/>
  <c r="W32" i="11" s="1"/>
  <c r="W46" i="11" s="1"/>
  <c r="W68" i="11"/>
  <c r="W36" i="11" s="1"/>
  <c r="W50" i="11" s="1"/>
  <c r="H68" i="11"/>
  <c r="H36" i="11" s="1"/>
  <c r="H50" i="11" s="1"/>
  <c r="AK72" i="11"/>
  <c r="AD67" i="11"/>
  <c r="D26" i="11"/>
  <c r="D27" i="11" s="1"/>
  <c r="C100" i="5"/>
  <c r="H73" i="11"/>
  <c r="H32" i="11" s="1"/>
  <c r="H33" i="11" s="1"/>
  <c r="AN47" i="11"/>
  <c r="AN37" i="11"/>
  <c r="AN51" i="11" s="1"/>
  <c r="L37" i="11"/>
  <c r="L41" i="11" s="1"/>
  <c r="L55" i="11" s="1"/>
  <c r="L47" i="11"/>
  <c r="G66" i="11"/>
  <c r="G68" i="11" s="1"/>
  <c r="G36" i="11" s="1"/>
  <c r="G37" i="11" s="1"/>
  <c r="D33" i="11"/>
  <c r="D47" i="11" s="1"/>
  <c r="B26" i="11"/>
  <c r="B27" i="11" s="1"/>
  <c r="AF63" i="11"/>
  <c r="M21" i="11"/>
  <c r="M16" i="11" s="1"/>
  <c r="L21" i="11"/>
  <c r="L19" i="11" s="1"/>
  <c r="AF66" i="11"/>
  <c r="M33" i="11"/>
  <c r="M37" i="11" s="1"/>
  <c r="B68" i="11"/>
  <c r="B37" i="11" s="1"/>
  <c r="D64" i="2"/>
  <c r="E64" i="2" s="1"/>
  <c r="AA51" i="11"/>
  <c r="B32" i="11"/>
  <c r="B46" i="11" s="1"/>
  <c r="C65" i="2"/>
  <c r="E40" i="11"/>
  <c r="E33" i="11"/>
  <c r="E47" i="11" s="1"/>
  <c r="E26" i="11"/>
  <c r="E27" i="11" s="1"/>
  <c r="AD63" i="11"/>
  <c r="AG63" i="11"/>
  <c r="Q32" i="11"/>
  <c r="Q46" i="11" s="1"/>
  <c r="Q33" i="11"/>
  <c r="Q47" i="11" s="1"/>
  <c r="U73" i="11"/>
  <c r="U32" i="11" s="1"/>
  <c r="U33" i="11" s="1"/>
  <c r="D64" i="1"/>
  <c r="E64" i="1" s="1"/>
  <c r="I73" i="11"/>
  <c r="I32" i="11" s="1"/>
  <c r="I40" i="11" s="1"/>
  <c r="C65" i="1"/>
  <c r="Q26" i="11"/>
  <c r="Q27" i="11" s="1"/>
  <c r="G73" i="11"/>
  <c r="G32" i="11" s="1"/>
  <c r="G33" i="11" s="1"/>
  <c r="I37" i="11"/>
  <c r="I51" i="11" s="1"/>
  <c r="I50" i="11"/>
  <c r="AK71" i="11"/>
  <c r="AI71" i="11"/>
  <c r="P32" i="11"/>
  <c r="P46" i="11" s="1"/>
  <c r="X37" i="11"/>
  <c r="X51" i="11" s="1"/>
  <c r="R32" i="11"/>
  <c r="R46" i="11" s="1"/>
  <c r="R26" i="11"/>
  <c r="R27" i="11" s="1"/>
  <c r="U37" i="11"/>
  <c r="U51" i="11" s="1"/>
  <c r="R33" i="11"/>
  <c r="R47" i="11" s="1"/>
  <c r="P33" i="11"/>
  <c r="P47" i="11" s="1"/>
  <c r="P26" i="11"/>
  <c r="P27" i="11" s="1"/>
  <c r="V37" i="11"/>
  <c r="V51" i="11" s="1"/>
  <c r="S33" i="11"/>
  <c r="S47" i="11" s="1"/>
  <c r="S26" i="11"/>
  <c r="S27" i="11" s="1"/>
  <c r="S32" i="11"/>
  <c r="S46" i="11" s="1"/>
  <c r="AL62" i="11"/>
  <c r="X32" i="11"/>
  <c r="X40" i="11" s="1"/>
  <c r="AL73" i="11"/>
  <c r="AL67" i="11" s="1"/>
  <c r="V32" i="11"/>
  <c r="V46" i="11" s="1"/>
  <c r="AK61" i="11"/>
  <c r="AJ62" i="11"/>
  <c r="AI62" i="11"/>
  <c r="AL61" i="11"/>
  <c r="AJ61" i="11"/>
  <c r="AK62" i="11"/>
  <c r="AI61" i="11"/>
  <c r="D36" i="11"/>
  <c r="D50" i="11" s="1"/>
  <c r="AO37" i="11"/>
  <c r="AO47" i="11"/>
  <c r="AN41" i="11"/>
  <c r="AN55" i="11" s="1"/>
  <c r="AN32" i="11"/>
  <c r="D51" i="11"/>
  <c r="E54" i="11"/>
  <c r="E50" i="11"/>
  <c r="J50" i="11"/>
  <c r="J37" i="11"/>
  <c r="L50" i="11"/>
  <c r="L40" i="11"/>
  <c r="L54" i="11" s="1"/>
  <c r="S83" i="5"/>
  <c r="T83" i="5" s="1"/>
  <c r="J33" i="11"/>
  <c r="J40" i="11"/>
  <c r="J46" i="11"/>
  <c r="M36" i="11"/>
  <c r="M46" i="11"/>
  <c r="R65" i="1"/>
  <c r="Z21" i="11"/>
  <c r="AA21" i="11"/>
  <c r="R100" i="5"/>
  <c r="S64" i="1"/>
  <c r="T64" i="1" s="1"/>
  <c r="AA32" i="11"/>
  <c r="Z46" i="11"/>
  <c r="Z36" i="11"/>
  <c r="X63" i="11"/>
  <c r="X26" i="11" s="1"/>
  <c r="X27" i="11" s="1"/>
  <c r="E37" i="11"/>
  <c r="W63" i="11"/>
  <c r="W26" i="11" s="1"/>
  <c r="W27" i="11" s="1"/>
  <c r="P68" i="11"/>
  <c r="I63" i="11"/>
  <c r="V63" i="11"/>
  <c r="V26" i="11" s="1"/>
  <c r="V27" i="11" s="1"/>
  <c r="Q68" i="11"/>
  <c r="U63" i="11"/>
  <c r="G63" i="11"/>
  <c r="J63" i="11"/>
  <c r="R68" i="11"/>
  <c r="AF68" i="11" s="1"/>
  <c r="S68" i="11"/>
  <c r="AG68" i="11" s="1"/>
  <c r="C37" i="11"/>
  <c r="C36" i="11"/>
  <c r="H63" i="11"/>
  <c r="AN21" i="11" l="1"/>
  <c r="W37" i="11"/>
  <c r="W51" i="11" s="1"/>
  <c r="AL66" i="11"/>
  <c r="H37" i="11"/>
  <c r="L51" i="11"/>
  <c r="B36" i="11"/>
  <c r="B50" i="11" s="1"/>
  <c r="D41" i="11"/>
  <c r="D55" i="11" s="1"/>
  <c r="H46" i="11"/>
  <c r="AJ73" i="11"/>
  <c r="H40" i="11"/>
  <c r="H54" i="11" s="1"/>
  <c r="L16" i="11"/>
  <c r="L14" i="11"/>
  <c r="L62" i="11" s="1"/>
  <c r="M47" i="11"/>
  <c r="M14" i="11"/>
  <c r="M62" i="11" s="1"/>
  <c r="M19" i="11"/>
  <c r="AO21" i="11"/>
  <c r="I33" i="11"/>
  <c r="I47" i="11" s="1"/>
  <c r="W40" i="11"/>
  <c r="W54" i="11" s="1"/>
  <c r="AI73" i="11"/>
  <c r="AI66" i="11" s="1"/>
  <c r="G50" i="11"/>
  <c r="I46" i="11"/>
  <c r="AK73" i="11"/>
  <c r="AK67" i="11" s="1"/>
  <c r="V33" i="11"/>
  <c r="V47" i="11" s="1"/>
  <c r="W33" i="11"/>
  <c r="W47" i="11" s="1"/>
  <c r="V40" i="11"/>
  <c r="V54" i="11" s="1"/>
  <c r="U40" i="11"/>
  <c r="U54" i="11" s="1"/>
  <c r="AI63" i="11"/>
  <c r="U46" i="11"/>
  <c r="X33" i="11"/>
  <c r="X41" i="11" s="1"/>
  <c r="X46" i="11"/>
  <c r="D40" i="11"/>
  <c r="D54" i="11" s="1"/>
  <c r="P36" i="11"/>
  <c r="P50" i="11" s="1"/>
  <c r="AD68" i="11"/>
  <c r="Q36" i="11"/>
  <c r="Q50" i="11" s="1"/>
  <c r="AE68" i="11"/>
  <c r="AK63" i="11"/>
  <c r="AL63" i="11"/>
  <c r="AJ63" i="11"/>
  <c r="G46" i="11"/>
  <c r="G40" i="11"/>
  <c r="G54" i="11" s="1"/>
  <c r="AO41" i="11"/>
  <c r="AO55" i="11" s="1"/>
  <c r="AO51" i="11"/>
  <c r="U26" i="11"/>
  <c r="X54" i="11"/>
  <c r="AO32" i="11"/>
  <c r="AO36" i="11" s="1"/>
  <c r="AO40" i="11" s="1"/>
  <c r="AN36" i="11"/>
  <c r="AN40" i="11" s="1"/>
  <c r="AN46" i="11"/>
  <c r="J26" i="11"/>
  <c r="J27" i="11" s="1"/>
  <c r="G26" i="11"/>
  <c r="H26" i="11"/>
  <c r="H27" i="11" s="1"/>
  <c r="I26" i="11"/>
  <c r="I27" i="11" s="1"/>
  <c r="J54" i="11"/>
  <c r="I54" i="11"/>
  <c r="J51" i="11"/>
  <c r="G51" i="11"/>
  <c r="E51" i="11"/>
  <c r="H51" i="11"/>
  <c r="G41" i="11"/>
  <c r="G47" i="11"/>
  <c r="M41" i="11"/>
  <c r="M55" i="11" s="1"/>
  <c r="M51" i="11"/>
  <c r="M50" i="11"/>
  <c r="M40" i="11"/>
  <c r="M54" i="11" s="1"/>
  <c r="J47" i="11"/>
  <c r="J41" i="11"/>
  <c r="H47" i="11"/>
  <c r="H41" i="11"/>
  <c r="Z50" i="11"/>
  <c r="Z40" i="11"/>
  <c r="AA46" i="11"/>
  <c r="AA36" i="11"/>
  <c r="AA16" i="11"/>
  <c r="AA19" i="11"/>
  <c r="AA14" i="11"/>
  <c r="Z16" i="11"/>
  <c r="Z19" i="11"/>
  <c r="Z14" i="11"/>
  <c r="U47" i="11"/>
  <c r="U41" i="11"/>
  <c r="E41" i="11"/>
  <c r="Q37" i="11"/>
  <c r="P37" i="11"/>
  <c r="S36" i="11"/>
  <c r="S37" i="11"/>
  <c r="C51" i="11"/>
  <c r="C41" i="11"/>
  <c r="B51" i="11"/>
  <c r="B41" i="11"/>
  <c r="C50" i="11"/>
  <c r="C40" i="11"/>
  <c r="R36" i="11"/>
  <c r="R37" i="11"/>
  <c r="AI67" i="11" l="1"/>
  <c r="AK66" i="11"/>
  <c r="AJ67" i="11"/>
  <c r="AJ66" i="11"/>
  <c r="B40" i="11"/>
  <c r="L61" i="11"/>
  <c r="L63" i="11" s="1"/>
  <c r="M61" i="11"/>
  <c r="M63" i="11" s="1"/>
  <c r="I41" i="11"/>
  <c r="I55" i="11" s="1"/>
  <c r="V41" i="11"/>
  <c r="V55" i="11" s="1"/>
  <c r="Q40" i="11"/>
  <c r="Q54" i="11" s="1"/>
  <c r="X47" i="11"/>
  <c r="W41" i="11"/>
  <c r="W55" i="11" s="1"/>
  <c r="P40" i="11"/>
  <c r="P54" i="11" s="1"/>
  <c r="AO46" i="11"/>
  <c r="AO50" i="11"/>
  <c r="G27" i="11"/>
  <c r="U27" i="11"/>
  <c r="U55" i="11"/>
  <c r="X55" i="11"/>
  <c r="AN50" i="11"/>
  <c r="Z54" i="11"/>
  <c r="AN54" i="11"/>
  <c r="H55" i="11"/>
  <c r="B54" i="11"/>
  <c r="E55" i="11"/>
  <c r="G55" i="11"/>
  <c r="J55" i="11"/>
  <c r="C55" i="11"/>
  <c r="C54" i="11"/>
  <c r="B55" i="11"/>
  <c r="AA50" i="11"/>
  <c r="AA40" i="11"/>
  <c r="AA61" i="11"/>
  <c r="AA62" i="11"/>
  <c r="AO62" i="11" s="1"/>
  <c r="Z62" i="11"/>
  <c r="AN62" i="11" s="1"/>
  <c r="Z61" i="11"/>
  <c r="P51" i="11"/>
  <c r="P41" i="11"/>
  <c r="P55" i="11" s="1"/>
  <c r="Q51" i="11"/>
  <c r="Q41" i="11"/>
  <c r="Q55" i="11" s="1"/>
  <c r="R51" i="11"/>
  <c r="R41" i="11"/>
  <c r="R50" i="11"/>
  <c r="R40" i="11"/>
  <c r="S51" i="11"/>
  <c r="S41" i="11"/>
  <c r="S55" i="11" s="1"/>
  <c r="S50" i="11"/>
  <c r="S40" i="11"/>
  <c r="AN61" i="11" l="1"/>
  <c r="AO61" i="11"/>
  <c r="AI32" i="11"/>
  <c r="AI33" i="11" s="1"/>
  <c r="AL32" i="11"/>
  <c r="AE36" i="11"/>
  <c r="AE50" i="11" s="1"/>
  <c r="AE37" i="11"/>
  <c r="AE51" i="11" s="1"/>
  <c r="AF36" i="11"/>
  <c r="AF50" i="11" s="1"/>
  <c r="AF37" i="11"/>
  <c r="AF51" i="11" s="1"/>
  <c r="AD36" i="11"/>
  <c r="AD50" i="11" s="1"/>
  <c r="AD37" i="11"/>
  <c r="AD51" i="11" s="1"/>
  <c r="AG36" i="11"/>
  <c r="AG50" i="11" s="1"/>
  <c r="AG37" i="11"/>
  <c r="AG51" i="11" s="1"/>
  <c r="AK32" i="11"/>
  <c r="AJ32" i="11"/>
  <c r="AJ33" i="11" s="1"/>
  <c r="AJ47" i="11" s="1"/>
  <c r="L26" i="11"/>
  <c r="M26" i="11"/>
  <c r="M27" i="11" s="1"/>
  <c r="AA54" i="11"/>
  <c r="AO54" i="11"/>
  <c r="S54" i="11"/>
  <c r="R55" i="11"/>
  <c r="R54" i="11"/>
  <c r="AA63" i="11"/>
  <c r="AA26" i="11" s="1"/>
  <c r="AA27" i="11" s="1"/>
  <c r="Z63" i="11"/>
  <c r="Z26" i="11" s="1"/>
  <c r="Z27" i="11" s="1"/>
  <c r="AN63" i="11" l="1"/>
  <c r="AO63" i="11"/>
  <c r="AI68" i="11"/>
  <c r="AI36" i="11" s="1"/>
  <c r="AI37" i="11" s="1"/>
  <c r="AI51" i="11" s="1"/>
  <c r="AK68" i="11"/>
  <c r="AK36" i="11" s="1"/>
  <c r="AK50" i="11" s="1"/>
  <c r="AJ68" i="11"/>
  <c r="AJ36" i="11" s="1"/>
  <c r="AJ50" i="11" s="1"/>
  <c r="AI47" i="11"/>
  <c r="AK46" i="11"/>
  <c r="AJ46" i="11"/>
  <c r="AI46" i="11"/>
  <c r="AL46" i="11"/>
  <c r="AK33" i="11"/>
  <c r="AL33" i="11"/>
  <c r="AL68" i="11"/>
  <c r="AL36" i="11" s="1"/>
  <c r="AL40" i="11" s="1"/>
  <c r="AL54" i="11" s="1"/>
  <c r="L27" i="11"/>
  <c r="AI40" i="11" l="1"/>
  <c r="AI54" i="11" s="1"/>
  <c r="AI50" i="11"/>
  <c r="AK37" i="11"/>
  <c r="AK51" i="11" s="1"/>
  <c r="AK40" i="11"/>
  <c r="AK54" i="11" s="1"/>
  <c r="AJ40" i="11"/>
  <c r="AJ54" i="11" s="1"/>
  <c r="AJ37" i="11"/>
  <c r="AL37" i="11"/>
  <c r="AL51" i="11" s="1"/>
  <c r="AL50" i="11"/>
  <c r="AL47" i="11"/>
  <c r="AI41" i="11"/>
  <c r="AI55" i="11" s="1"/>
  <c r="AK41" i="11"/>
  <c r="AK55" i="11" s="1"/>
  <c r="AK47" i="11"/>
  <c r="AO26" i="11"/>
  <c r="AO27" i="11" s="1"/>
  <c r="AE26" i="11"/>
  <c r="AE27" i="11" s="1"/>
  <c r="AI26" i="11"/>
  <c r="AI27" i="11" s="1"/>
  <c r="AF26" i="11"/>
  <c r="AF27" i="11" s="1"/>
  <c r="AN26" i="11"/>
  <c r="AN27" i="11" s="1"/>
  <c r="AD26" i="11"/>
  <c r="AD27" i="11" s="1"/>
  <c r="AJ26" i="11"/>
  <c r="AJ27" i="11" s="1"/>
  <c r="AG26" i="11"/>
  <c r="AG27" i="11" s="1"/>
  <c r="AL26" i="11"/>
  <c r="AL27" i="11" s="1"/>
  <c r="AK26" i="11"/>
  <c r="AK27" i="11" s="1"/>
  <c r="AL41" i="11" l="1"/>
  <c r="AL55" i="11" s="1"/>
  <c r="AJ41" i="11"/>
  <c r="AJ55" i="11" s="1"/>
  <c r="AJ51" i="11"/>
  <c r="AG33" i="11"/>
  <c r="AG32" i="11"/>
  <c r="AD32" i="11"/>
  <c r="AD33" i="11"/>
  <c r="AF32" i="11"/>
  <c r="AF33" i="11"/>
  <c r="AE33" i="11"/>
  <c r="AE32" i="11"/>
  <c r="AE46" i="11" l="1"/>
  <c r="AE40" i="11"/>
  <c r="AE54" i="11" s="1"/>
  <c r="AD46" i="11"/>
  <c r="AD40" i="11"/>
  <c r="AD54" i="11" s="1"/>
  <c r="AF41" i="11"/>
  <c r="AF55" i="11" s="1"/>
  <c r="AF47" i="11"/>
  <c r="AD41" i="11"/>
  <c r="AD55" i="11" s="1"/>
  <c r="AD47" i="11"/>
  <c r="AG40" i="11"/>
  <c r="AG54" i="11" s="1"/>
  <c r="AG46" i="11"/>
  <c r="AE41" i="11"/>
  <c r="AE55" i="11" s="1"/>
  <c r="AE47" i="11"/>
  <c r="AF46" i="11"/>
  <c r="AF40" i="11"/>
  <c r="AF54" i="11" s="1"/>
  <c r="AG47" i="11"/>
  <c r="AG41" i="11"/>
  <c r="AG55" i="11" s="1"/>
</calcChain>
</file>

<file path=xl/sharedStrings.xml><?xml version="1.0" encoding="utf-8"?>
<sst xmlns="http://schemas.openxmlformats.org/spreadsheetml/2006/main" count="585" uniqueCount="125">
  <si>
    <t>Selected</t>
  </si>
  <si>
    <t>Mu</t>
  </si>
  <si>
    <t>Sigma</t>
  </si>
  <si>
    <t>T0</t>
  </si>
  <si>
    <t>T1</t>
  </si>
  <si>
    <t>T2</t>
  </si>
  <si>
    <t>T3</t>
  </si>
  <si>
    <t>T4</t>
  </si>
  <si>
    <t>T5</t>
  </si>
  <si>
    <t>Discount Rate</t>
  </si>
  <si>
    <t>Discounted CoC</t>
  </si>
  <si>
    <t>RA</t>
  </si>
  <si>
    <t>Section 5 - Margin Approach</t>
  </si>
  <si>
    <t>Diversification Factor</t>
  </si>
  <si>
    <t>Margin Factor</t>
  </si>
  <si>
    <t>Undiscounted CoC</t>
  </si>
  <si>
    <t>Implied RA</t>
  </si>
  <si>
    <t>Data</t>
  </si>
  <si>
    <t>At Selected CoC Rate</t>
  </si>
  <si>
    <t>At Selected Margin</t>
  </si>
  <si>
    <t>Portfolio 2: Short-Tail</t>
  </si>
  <si>
    <t>Section 2: Correlation</t>
  </si>
  <si>
    <t>Section 1: Key Metrics for Liability for Incurred Claims only</t>
  </si>
  <si>
    <t>Section 2: Lognormal Parameters</t>
  </si>
  <si>
    <t>Selected Risk Appetite Percentile</t>
  </si>
  <si>
    <t>Future CFs</t>
  </si>
  <si>
    <t>Selected Confidence Level</t>
  </si>
  <si>
    <t>Section 4 - Cost of Capital - Assumptions</t>
  </si>
  <si>
    <t>Undiversified Required Capital at T0</t>
  </si>
  <si>
    <t>Diversified Required Capital at T0</t>
  </si>
  <si>
    <t>Remaining Future Cash Flows</t>
  </si>
  <si>
    <t>Remaining Future Cash Flows (Monte-Carlo)</t>
  </si>
  <si>
    <r>
      <t>CoC Rate</t>
    </r>
    <r>
      <rPr>
        <vertAlign val="superscript"/>
        <sz val="14.3"/>
        <color theme="1"/>
        <rFont val="Calibri"/>
        <family val="2"/>
      </rPr>
      <t>*</t>
    </r>
  </si>
  <si>
    <t>* the Cost of Capital rate is net of the assumed investment return on capital</t>
  </si>
  <si>
    <t>Equivalent to Confidence Level Selected in Section 3</t>
  </si>
  <si>
    <t>Confidence Level</t>
  </si>
  <si>
    <t>T6</t>
  </si>
  <si>
    <t>T7</t>
  </si>
  <si>
    <t>T8</t>
  </si>
  <si>
    <t>T9</t>
  </si>
  <si>
    <t>T10</t>
  </si>
  <si>
    <t>Section 1: Key Metrics for Liability for Incurred Claims only (Monte-Carlo)</t>
  </si>
  <si>
    <t>Title</t>
  </si>
  <si>
    <t>Units</t>
  </si>
  <si>
    <t>IFRS 17 Risk Adjustment for Non-Financial Risk for Property and Casualty Actuaries</t>
  </si>
  <si>
    <t>(000)</t>
  </si>
  <si>
    <t>Project</t>
  </si>
  <si>
    <t>Illustrative Examples of Risk Adjustment Approach</t>
  </si>
  <si>
    <t xml:space="preserve">Portfolio 1: Long-Tail </t>
  </si>
  <si>
    <t>Gross of Reinsurance</t>
  </si>
  <si>
    <t>Method</t>
  </si>
  <si>
    <t>of Moment</t>
  </si>
  <si>
    <t xml:space="preserve">Implied </t>
  </si>
  <si>
    <t>from Selected</t>
  </si>
  <si>
    <t>(1a)</t>
  </si>
  <si>
    <t>(1b)</t>
  </si>
  <si>
    <t>(1c)</t>
  </si>
  <si>
    <t>(2a)</t>
  </si>
  <si>
    <t>(2b)</t>
  </si>
  <si>
    <t>(3a)</t>
  </si>
  <si>
    <t>(3b)</t>
  </si>
  <si>
    <t>(4a)</t>
  </si>
  <si>
    <t>(4b)</t>
  </si>
  <si>
    <t>(4c)</t>
  </si>
  <si>
    <t>(4d)</t>
  </si>
  <si>
    <t>(4e)</t>
  </si>
  <si>
    <t>BoY Capital</t>
  </si>
  <si>
    <t>Discount factor</t>
  </si>
  <si>
    <t>(4f)</t>
  </si>
  <si>
    <t>(4g)</t>
  </si>
  <si>
    <t>(4h)</t>
  </si>
  <si>
    <t>(4i)</t>
  </si>
  <si>
    <t>(4j)</t>
  </si>
  <si>
    <t>(4k)</t>
  </si>
  <si>
    <t>(4l)</t>
  </si>
  <si>
    <t>(5a)</t>
  </si>
  <si>
    <t>(5b)</t>
  </si>
  <si>
    <t>Notes:</t>
  </si>
  <si>
    <t>Colour code:</t>
  </si>
  <si>
    <t>Blue</t>
  </si>
  <si>
    <t>Output info</t>
  </si>
  <si>
    <t>purple</t>
  </si>
  <si>
    <t>Black</t>
  </si>
  <si>
    <t>Calculated</t>
  </si>
  <si>
    <t>Input data/Selected</t>
  </si>
  <si>
    <t>Parameter</t>
  </si>
  <si>
    <t>Portfolio</t>
  </si>
  <si>
    <t>Implied</t>
  </si>
  <si>
    <t>Mean for PV of Future Cash Flows</t>
  </si>
  <si>
    <t>Std Dev for PV of Future Cash Flows</t>
  </si>
  <si>
    <t>CV for PV of Future Cash Flows</t>
  </si>
  <si>
    <t>Section 3 -  Distribution of PV of Future Cash Flows</t>
  </si>
  <si>
    <t>as proportion of T0</t>
  </si>
  <si>
    <t>Net of Reinsurance</t>
  </si>
  <si>
    <t>Cost of Capital</t>
  </si>
  <si>
    <t>Risk Appetite Percentile</t>
  </si>
  <si>
    <t>Risk Adjustment</t>
  </si>
  <si>
    <t>Using Same Approach as Overall</t>
  </si>
  <si>
    <t>Pro rata</t>
  </si>
  <si>
    <t>Marginal</t>
  </si>
  <si>
    <t>Average of Pro rata and Marginal</t>
  </si>
  <si>
    <t>Implied Factor to Apply to Mean Present Value of Cash Flows</t>
  </si>
  <si>
    <t xml:space="preserve">All </t>
  </si>
  <si>
    <t>RA marginal weight</t>
  </si>
  <si>
    <t>All Undiversified</t>
  </si>
  <si>
    <t>Implied RA @ Confidence Level</t>
  </si>
  <si>
    <t>Section 1: Comparison of Scenarios</t>
  </si>
  <si>
    <t>Section 2: Intermediate Calculation Steps</t>
  </si>
  <si>
    <t>RA based on Cost of Capital</t>
  </si>
  <si>
    <t>Total</t>
  </si>
  <si>
    <t>Section 3 -  Distribution of PV of Future Remaining Cash Flows</t>
  </si>
  <si>
    <t>Confidence Level \ T</t>
  </si>
  <si>
    <t>Mean for PV of Future Remaining Cash Flows</t>
  </si>
  <si>
    <t>Implied Ceded Reinsurance</t>
  </si>
  <si>
    <t>Total (Long-Tail and Short-Tail Portfolios Combined) - Scenario Comparison</t>
  </si>
  <si>
    <t>Scenarios (Column Heading Indicates Method Selected)</t>
  </si>
  <si>
    <t>Equivalent Parameters of Other Methods</t>
  </si>
  <si>
    <t>Allocation by Long-Tail and Short-Tail Portfolios</t>
  </si>
  <si>
    <t>Long-Tail</t>
  </si>
  <si>
    <t>Short-Tail</t>
  </si>
  <si>
    <t>Not Applicable</t>
  </si>
  <si>
    <t>Selected are based on Method of Moment.</t>
  </si>
  <si>
    <t>Total (Long-Tail and Short-Tail Portfolios Combined) - Monte Carlo Simulation</t>
  </si>
  <si>
    <t xml:space="preserve">     Gross Margin Factor of 12.5% assumes that gross distribution has a heavier tail than net distribution</t>
  </si>
  <si>
    <t xml:space="preserve">     Net Margin Factor of 10.0% assumes that gross distribution has a heavier tail than net distribution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</si>
</sst>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(* #,##0.00_);_(* \(#,##0.00\);_(* &quot;-&quot;??_);_(@_)"/>
    <numFmt numFmtId="165" formatCode="0.000"/>
    <numFmt numFmtId="166" formatCode="_(* #,##0_);_(* \(#,##0\);_(* &quot;-&quot;??_);_(@_)"/>
    <numFmt numFmtId="167" formatCode="0.0%"/>
    <numFmt numFmtId="168" formatCode="#,##0.000"/>
    <numFmt numFmtId="169" formatCode="#,##0.000_);\(#,##0.000\)"/>
    <numFmt numFmtId="170" formatCode="_-* #,##0_-;\-* #,##0_-;_-* &quot;-&quot;??_-;_-@_-"/>
    <numFmt numFmtId="171" formatCode="&quot;Exhibit &quot;#"/>
    <numFmt numFmtId="172" formatCode="&quot;Sheet &quot;#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4.3"/>
      <color theme="1"/>
      <name val="Calibri"/>
      <family val="2"/>
    </font>
    <font>
      <sz val="11"/>
      <color rgb="FF7030A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rgb="FF0070C0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5">
    <xf numFmtId="0" fontId="0" fillId="0" borderId="0" xfId="0"/>
    <xf numFmtId="0" fontId="2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right"/>
    </xf>
    <xf numFmtId="165" fontId="0" fillId="0" borderId="0" xfId="0" applyNumberFormat="1"/>
    <xf numFmtId="166" fontId="0" fillId="0" borderId="0" xfId="1" applyNumberFormat="1" applyFont="1"/>
    <xf numFmtId="167" fontId="0" fillId="0" borderId="0" xfId="2" applyNumberFormat="1" applyFont="1"/>
    <xf numFmtId="166" fontId="0" fillId="0" borderId="0" xfId="0" applyNumberFormat="1"/>
    <xf numFmtId="0" fontId="3" fillId="0" borderId="0" xfId="0" applyFont="1"/>
    <xf numFmtId="10" fontId="0" fillId="0" borderId="0" xfId="2" applyNumberFormat="1" applyFont="1"/>
    <xf numFmtId="0" fontId="0" fillId="0" borderId="0" xfId="0" quotePrefix="1"/>
    <xf numFmtId="0" fontId="7" fillId="0" borderId="0" xfId="0" applyFont="1"/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0" xfId="0" applyAlignment="1">
      <alignment horizontal="center" wrapText="1"/>
    </xf>
    <xf numFmtId="3" fontId="3" fillId="0" borderId="0" xfId="1" applyNumberFormat="1" applyFont="1" applyAlignment="1">
      <alignment horizontal="center"/>
    </xf>
    <xf numFmtId="3" fontId="0" fillId="0" borderId="0" xfId="1" applyNumberFormat="1" applyFont="1" applyAlignment="1">
      <alignment horizontal="center"/>
    </xf>
    <xf numFmtId="168" fontId="3" fillId="0" borderId="0" xfId="1" applyNumberFormat="1" applyFont="1" applyAlignment="1">
      <alignment horizontal="center"/>
    </xf>
    <xf numFmtId="168" fontId="0" fillId="0" borderId="0" xfId="1" applyNumberFormat="1" applyFont="1" applyAlignment="1">
      <alignment horizontal="center"/>
    </xf>
    <xf numFmtId="37" fontId="0" fillId="0" borderId="0" xfId="1" applyNumberFormat="1" applyFont="1" applyAlignment="1">
      <alignment horizontal="center"/>
    </xf>
    <xf numFmtId="9" fontId="3" fillId="0" borderId="0" xfId="0" applyNumberFormat="1" applyFont="1" applyAlignment="1">
      <alignment horizontal="center"/>
    </xf>
    <xf numFmtId="4" fontId="0" fillId="0" borderId="0" xfId="1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0" fontId="3" fillId="0" borderId="0" xfId="2" applyNumberFormat="1" applyFont="1" applyAlignment="1">
      <alignment horizontal="center"/>
    </xf>
    <xf numFmtId="0" fontId="0" fillId="0" borderId="0" xfId="0" quotePrefix="1" applyAlignment="1">
      <alignment vertical="center"/>
    </xf>
    <xf numFmtId="0" fontId="0" fillId="0" borderId="0" xfId="0" applyAlignment="1">
      <alignment vertical="center" wrapText="1"/>
    </xf>
    <xf numFmtId="37" fontId="0" fillId="0" borderId="0" xfId="1" applyNumberFormat="1" applyFont="1" applyAlignment="1">
      <alignment horizontal="center" vertical="center"/>
    </xf>
    <xf numFmtId="0" fontId="6" fillId="0" borderId="0" xfId="0" applyFont="1"/>
    <xf numFmtId="168" fontId="4" fillId="0" borderId="0" xfId="1" applyNumberFormat="1" applyFont="1" applyAlignment="1">
      <alignment horizontal="center"/>
    </xf>
    <xf numFmtId="37" fontId="6" fillId="0" borderId="0" xfId="0" applyNumberFormat="1" applyFont="1" applyAlignment="1">
      <alignment horizontal="center"/>
    </xf>
    <xf numFmtId="165" fontId="6" fillId="0" borderId="0" xfId="0" applyNumberFormat="1" applyFont="1" applyAlignment="1">
      <alignment horizontal="center"/>
    </xf>
    <xf numFmtId="37" fontId="3" fillId="0" borderId="0" xfId="1" applyNumberFormat="1" applyFont="1" applyAlignment="1">
      <alignment horizontal="center"/>
    </xf>
    <xf numFmtId="10" fontId="6" fillId="0" borderId="0" xfId="2" applyNumberFormat="1" applyFont="1" applyAlignment="1">
      <alignment horizontal="center" vertical="center"/>
    </xf>
    <xf numFmtId="0" fontId="9" fillId="0" borderId="0" xfId="0" applyFont="1"/>
    <xf numFmtId="166" fontId="0" fillId="0" borderId="0" xfId="1" applyNumberFormat="1" applyFont="1" applyFill="1" applyAlignment="1">
      <alignment horizontal="center"/>
    </xf>
    <xf numFmtId="37" fontId="3" fillId="0" borderId="0" xfId="1" applyNumberFormat="1" applyFont="1" applyFill="1" applyAlignment="1">
      <alignment horizontal="center"/>
    </xf>
    <xf numFmtId="37" fontId="0" fillId="0" borderId="0" xfId="1" applyNumberFormat="1" applyFont="1" applyFill="1" applyAlignment="1">
      <alignment horizontal="center"/>
    </xf>
    <xf numFmtId="37" fontId="0" fillId="0" borderId="0" xfId="0" applyNumberFormat="1" applyFill="1" applyAlignment="1">
      <alignment horizontal="center"/>
    </xf>
    <xf numFmtId="37" fontId="6" fillId="0" borderId="0" xfId="0" applyNumberFormat="1" applyFont="1" applyFill="1" applyAlignment="1">
      <alignment horizontal="center"/>
    </xf>
    <xf numFmtId="3" fontId="0" fillId="0" borderId="0" xfId="0" applyNumberFormat="1" applyAlignment="1">
      <alignment horizontal="center"/>
    </xf>
    <xf numFmtId="168" fontId="3" fillId="0" borderId="0" xfId="0" applyNumberFormat="1" applyFont="1" applyAlignment="1">
      <alignment horizontal="center"/>
    </xf>
    <xf numFmtId="37" fontId="0" fillId="0" borderId="0" xfId="0" applyNumberFormat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169" fontId="3" fillId="0" borderId="0" xfId="1" applyNumberFormat="1" applyFont="1" applyAlignment="1">
      <alignment horizontal="center" vertical="center"/>
    </xf>
    <xf numFmtId="169" fontId="6" fillId="0" borderId="0" xfId="1" applyNumberFormat="1" applyFont="1" applyFill="1" applyAlignment="1">
      <alignment horizontal="center"/>
    </xf>
    <xf numFmtId="0" fontId="10" fillId="0" borderId="0" xfId="0" applyFont="1"/>
    <xf numFmtId="10" fontId="4" fillId="0" borderId="0" xfId="2" applyNumberFormat="1" applyFont="1" applyAlignment="1">
      <alignment horizontal="center"/>
    </xf>
    <xf numFmtId="168" fontId="4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center"/>
    </xf>
    <xf numFmtId="9" fontId="0" fillId="0" borderId="0" xfId="2" applyFont="1"/>
    <xf numFmtId="170" fontId="0" fillId="0" borderId="0" xfId="0" applyNumberFormat="1"/>
    <xf numFmtId="166" fontId="0" fillId="0" borderId="0" xfId="1" applyNumberFormat="1" applyFont="1" applyFill="1"/>
    <xf numFmtId="9" fontId="0" fillId="0" borderId="0" xfId="0" applyNumberFormat="1" applyFont="1" applyFill="1" applyAlignment="1">
      <alignment horizontal="center"/>
    </xf>
    <xf numFmtId="9" fontId="0" fillId="0" borderId="0" xfId="0" applyNumberFormat="1" applyFont="1" applyAlignment="1">
      <alignment horizontal="center"/>
    </xf>
    <xf numFmtId="3" fontId="1" fillId="0" borderId="0" xfId="1" applyNumberFormat="1" applyFont="1" applyAlignment="1">
      <alignment horizontal="center"/>
    </xf>
    <xf numFmtId="0" fontId="0" fillId="0" borderId="0" xfId="0" applyFont="1"/>
    <xf numFmtId="0" fontId="0" fillId="0" borderId="1" xfId="0" applyFont="1" applyBorder="1"/>
    <xf numFmtId="0" fontId="0" fillId="0" borderId="1" xfId="0" applyBorder="1"/>
    <xf numFmtId="171" fontId="3" fillId="0" borderId="0" xfId="0" applyNumberFormat="1" applyFont="1" applyAlignment="1">
      <alignment horizontal="right"/>
    </xf>
    <xf numFmtId="172" fontId="3" fillId="0" borderId="1" xfId="0" applyNumberFormat="1" applyFont="1" applyBorder="1"/>
    <xf numFmtId="0" fontId="11" fillId="0" borderId="0" xfId="0" applyFont="1"/>
    <xf numFmtId="0" fontId="0" fillId="0" borderId="1" xfId="0" applyBorder="1" applyAlignment="1">
      <alignment horizontal="centerContinuous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2" fillId="0" borderId="0" xfId="0" applyFont="1"/>
    <xf numFmtId="0" fontId="13" fillId="0" borderId="0" xfId="0" applyFont="1"/>
    <xf numFmtId="0" fontId="14" fillId="0" borderId="0" xfId="0" applyFont="1"/>
    <xf numFmtId="9" fontId="3" fillId="2" borderId="2" xfId="2" applyFont="1" applyFill="1" applyBorder="1"/>
    <xf numFmtId="9" fontId="3" fillId="2" borderId="3" xfId="2" applyFont="1" applyFill="1" applyBorder="1"/>
    <xf numFmtId="9" fontId="3" fillId="2" borderId="4" xfId="2" applyFont="1" applyFill="1" applyBorder="1"/>
    <xf numFmtId="167" fontId="3" fillId="2" borderId="2" xfId="2" applyNumberFormat="1" applyFont="1" applyFill="1" applyBorder="1"/>
    <xf numFmtId="167" fontId="3" fillId="2" borderId="4" xfId="2" applyNumberFormat="1" applyFont="1" applyFill="1" applyBorder="1"/>
    <xf numFmtId="167" fontId="3" fillId="2" borderId="5" xfId="2" applyNumberFormat="1" applyFont="1" applyFill="1" applyBorder="1"/>
    <xf numFmtId="167" fontId="3" fillId="2" borderId="6" xfId="2" applyNumberFormat="1" applyFont="1" applyFill="1" applyBorder="1"/>
    <xf numFmtId="167" fontId="3" fillId="2" borderId="7" xfId="2" applyNumberFormat="1" applyFont="1" applyFill="1" applyBorder="1"/>
    <xf numFmtId="167" fontId="3" fillId="2" borderId="8" xfId="2" applyNumberFormat="1" applyFont="1" applyFill="1" applyBorder="1"/>
    <xf numFmtId="167" fontId="3" fillId="2" borderId="1" xfId="2" applyNumberFormat="1" applyFont="1" applyFill="1" applyBorder="1"/>
    <xf numFmtId="167" fontId="3" fillId="2" borderId="9" xfId="2" applyNumberFormat="1" applyFont="1" applyFill="1" applyBorder="1"/>
    <xf numFmtId="0" fontId="4" fillId="0" borderId="0" xfId="0" applyFont="1"/>
    <xf numFmtId="171" fontId="4" fillId="0" borderId="0" xfId="0" applyNumberFormat="1" applyFont="1" applyAlignment="1">
      <alignment horizontal="right"/>
    </xf>
    <xf numFmtId="0" fontId="4" fillId="0" borderId="1" xfId="0" applyFont="1" applyBorder="1"/>
    <xf numFmtId="172" fontId="4" fillId="0" borderId="1" xfId="0" applyNumberFormat="1" applyFont="1" applyBorder="1"/>
    <xf numFmtId="0" fontId="4" fillId="0" borderId="1" xfId="0" applyFont="1" applyBorder="1" applyAlignment="1">
      <alignment horizontal="centerContinuous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Continuous"/>
    </xf>
    <xf numFmtId="0" fontId="15" fillId="0" borderId="0" xfId="0" applyFont="1"/>
    <xf numFmtId="0" fontId="16" fillId="0" borderId="0" xfId="0" applyFont="1"/>
    <xf numFmtId="0" fontId="0" fillId="0" borderId="6" xfId="0" applyBorder="1"/>
    <xf numFmtId="166" fontId="0" fillId="0" borderId="6" xfId="1" applyNumberFormat="1" applyFont="1" applyBorder="1"/>
    <xf numFmtId="0" fontId="17" fillId="0" borderId="0" xfId="0" applyFont="1"/>
    <xf numFmtId="166" fontId="4" fillId="0" borderId="0" xfId="0" applyNumberFormat="1" applyFont="1"/>
    <xf numFmtId="0" fontId="18" fillId="0" borderId="0" xfId="0" applyFont="1"/>
    <xf numFmtId="166" fontId="4" fillId="0" borderId="0" xfId="1" applyNumberFormat="1" applyFont="1"/>
    <xf numFmtId="0" fontId="19" fillId="0" borderId="0" xfId="0" applyFont="1"/>
    <xf numFmtId="170" fontId="4" fillId="0" borderId="0" xfId="0" applyNumberFormat="1" applyFont="1"/>
    <xf numFmtId="166" fontId="4" fillId="0" borderId="0" xfId="1" applyNumberFormat="1" applyFont="1" applyFill="1"/>
    <xf numFmtId="167" fontId="4" fillId="0" borderId="0" xfId="2" applyNumberFormat="1" applyFont="1"/>
    <xf numFmtId="0" fontId="4" fillId="0" borderId="6" xfId="0" applyFont="1" applyBorder="1"/>
    <xf numFmtId="166" fontId="4" fillId="0" borderId="6" xfId="1" applyNumberFormat="1" applyFont="1" applyBorder="1"/>
    <xf numFmtId="0" fontId="0" fillId="0" borderId="3" xfId="0" applyBorder="1"/>
    <xf numFmtId="166" fontId="0" fillId="0" borderId="3" xfId="0" applyNumberFormat="1" applyBorder="1"/>
    <xf numFmtId="0" fontId="0" fillId="0" borderId="0" xfId="0" applyAlignment="1">
      <alignment horizontal="left" indent="2"/>
    </xf>
    <xf numFmtId="0" fontId="8" fillId="0" borderId="0" xfId="0" quotePrefix="1" applyFont="1" applyAlignment="1">
      <alignment horizontal="right"/>
    </xf>
    <xf numFmtId="0" fontId="0" fillId="0" borderId="0" xfId="0" applyAlignment="1"/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"/>
  <sheetViews>
    <sheetView view="pageBreakPreview" zoomScaleNormal="100" zoomScaleSheetLayoutView="100" workbookViewId="0">
      <selection activeCell="A15" sqref="A15"/>
    </sheetView>
  </sheetViews>
  <sheetFormatPr defaultRowHeight="14.5" x14ac:dyDescent="0.35"/>
  <cols>
    <col min="1" max="1" width="18.7265625" bestFit="1" customWidth="1"/>
  </cols>
  <sheetData>
    <row r="1" spans="1:8" x14ac:dyDescent="0.35">
      <c r="A1" t="s">
        <v>42</v>
      </c>
      <c r="B1" t="s">
        <v>44</v>
      </c>
    </row>
    <row r="2" spans="1:8" x14ac:dyDescent="0.35">
      <c r="A2" t="s">
        <v>46</v>
      </c>
      <c r="B2" t="s">
        <v>47</v>
      </c>
    </row>
    <row r="3" spans="1:8" x14ac:dyDescent="0.35">
      <c r="A3" t="s">
        <v>17</v>
      </c>
      <c r="B3" t="s">
        <v>49</v>
      </c>
      <c r="E3" t="s">
        <v>93</v>
      </c>
      <c r="H3" t="s">
        <v>113</v>
      </c>
    </row>
    <row r="4" spans="1:8" x14ac:dyDescent="0.35">
      <c r="A4" t="s">
        <v>43</v>
      </c>
      <c r="B4" s="10" t="s">
        <v>45</v>
      </c>
    </row>
    <row r="7" spans="1:8" x14ac:dyDescent="0.35">
      <c r="A7" t="s">
        <v>78</v>
      </c>
    </row>
    <row r="8" spans="1:8" x14ac:dyDescent="0.35">
      <c r="A8" t="s">
        <v>84</v>
      </c>
      <c r="B8" s="8" t="s">
        <v>79</v>
      </c>
    </row>
    <row r="9" spans="1:8" x14ac:dyDescent="0.35">
      <c r="A9" t="s">
        <v>80</v>
      </c>
      <c r="B9" s="27" t="s">
        <v>81</v>
      </c>
    </row>
    <row r="10" spans="1:8" x14ac:dyDescent="0.35">
      <c r="A10" t="s">
        <v>83</v>
      </c>
      <c r="B10" t="s">
        <v>82</v>
      </c>
    </row>
  </sheetData>
  <pageMargins left="0.7" right="0.7" top="0.75" bottom="0.75" header="0.3" footer="0.3"/>
  <pageSetup scale="9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O76"/>
  <sheetViews>
    <sheetView view="pageBreakPreview" topLeftCell="X3" zoomScaleNormal="100" zoomScaleSheetLayoutView="100" workbookViewId="0">
      <selection activeCell="J33" sqref="J33"/>
    </sheetView>
  </sheetViews>
  <sheetFormatPr defaultRowHeight="14.5" x14ac:dyDescent="0.35"/>
  <cols>
    <col min="1" max="1" width="24.1796875" customWidth="1"/>
    <col min="2" max="5" width="10.7265625" customWidth="1"/>
    <col min="6" max="6" width="2.7265625" customWidth="1"/>
    <col min="7" max="10" width="10.7265625" customWidth="1"/>
    <col min="11" max="11" width="2.7265625" customWidth="1"/>
    <col min="12" max="13" width="10.7265625" customWidth="1"/>
    <col min="14" max="14" width="2.7265625" customWidth="1"/>
    <col min="15" max="15" width="24.1796875" customWidth="1"/>
    <col min="16" max="19" width="10.7265625" customWidth="1"/>
    <col min="20" max="20" width="2.7265625" customWidth="1"/>
    <col min="21" max="24" width="10.7265625" customWidth="1"/>
    <col min="25" max="25" width="2.7265625" customWidth="1"/>
    <col min="26" max="27" width="10.7265625" customWidth="1"/>
    <col min="28" max="28" width="2.7265625" customWidth="1"/>
    <col min="29" max="29" width="24.1796875" customWidth="1"/>
    <col min="30" max="33" width="10.7265625" customWidth="1"/>
    <col min="34" max="34" width="2.7265625" customWidth="1"/>
    <col min="35" max="38" width="10.7265625" customWidth="1"/>
    <col min="39" max="39" width="2.7265625" customWidth="1"/>
    <col min="40" max="41" width="10.7265625" customWidth="1"/>
  </cols>
  <sheetData>
    <row r="1" spans="1:41" x14ac:dyDescent="0.35">
      <c r="A1" s="55" t="str">
        <f>Info_Title</f>
        <v>IFRS 17 Risk Adjustment for Non-Financial Risk for Property and Casualty Actuaries</v>
      </c>
      <c r="M1" s="58">
        <v>1</v>
      </c>
      <c r="O1" s="78" t="str">
        <f>Info_Title</f>
        <v>IFRS 17 Risk Adjustment for Non-Financial Risk for Property and Casualty Actuaries</v>
      </c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9">
        <f>M1</f>
        <v>1</v>
      </c>
      <c r="AB1" s="78"/>
      <c r="AC1" s="78" t="str">
        <f>Info_Title</f>
        <v>IFRS 17 Risk Adjustment for Non-Financial Risk for Property and Casualty Actuaries</v>
      </c>
      <c r="AD1" s="78"/>
      <c r="AE1" s="78"/>
      <c r="AF1" s="78"/>
      <c r="AG1" s="78"/>
      <c r="AH1" s="78"/>
      <c r="AI1" s="78"/>
      <c r="AJ1" s="78"/>
      <c r="AK1" s="78"/>
      <c r="AL1" s="78"/>
      <c r="AM1" s="78"/>
      <c r="AN1" s="78"/>
      <c r="AO1" s="79">
        <f>AA1</f>
        <v>1</v>
      </c>
    </row>
    <row r="2" spans="1:41" x14ac:dyDescent="0.35">
      <c r="A2" s="56" t="str">
        <f>Info_Project</f>
        <v>Illustrative Examples of Risk Adjustment Approach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9">
        <v>1</v>
      </c>
      <c r="O2" s="80" t="str">
        <f>Info_Project</f>
        <v>Illustrative Examples of Risk Adjustment Approach</v>
      </c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1">
        <f>M2+1</f>
        <v>2</v>
      </c>
      <c r="AB2" s="78"/>
      <c r="AC2" s="80" t="str">
        <f>Info_Project</f>
        <v>Illustrative Examples of Risk Adjustment Approach</v>
      </c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1">
        <f>AA2+1</f>
        <v>3</v>
      </c>
    </row>
    <row r="3" spans="1:41" ht="18.5" x14ac:dyDescent="0.45">
      <c r="A3" s="33" t="s">
        <v>114</v>
      </c>
      <c r="O3" s="45" t="str">
        <f>A3</f>
        <v>Total (Long-Tail and Short-Tail Portfolios Combined) - Scenario Comparison</v>
      </c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45" t="str">
        <f>O3</f>
        <v>Total (Long-Tail and Short-Tail Portfolios Combined) - Scenario Comparison</v>
      </c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</row>
    <row r="4" spans="1:41" ht="18.5" x14ac:dyDescent="0.45">
      <c r="A4" s="60" t="str">
        <f>info_Gross&amp;" in "&amp;Info_DollarUnit</f>
        <v>Gross of Reinsurance in (000)</v>
      </c>
      <c r="O4" s="45" t="str">
        <f>info_Net&amp;" in "&amp;Info_DollarUnit</f>
        <v>Net of Reinsurance in (000)</v>
      </c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45" t="str">
        <f>info_ceded&amp;" in "&amp;Info_DollarUnit</f>
        <v>Implied Ceded Reinsurance in (000)</v>
      </c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</row>
    <row r="5" spans="1:41" x14ac:dyDescent="0.35">
      <c r="O5" s="78"/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8"/>
      <c r="AH5" s="78"/>
      <c r="AI5" s="78"/>
      <c r="AJ5" s="78"/>
      <c r="AK5" s="78"/>
      <c r="AL5" s="78"/>
      <c r="AM5" s="78"/>
      <c r="AN5" s="78"/>
      <c r="AO5" s="78"/>
    </row>
    <row r="6" spans="1:41" x14ac:dyDescent="0.35">
      <c r="B6" s="84" t="s">
        <v>115</v>
      </c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O6" s="78"/>
      <c r="P6" s="82" t="str">
        <f>B6</f>
        <v>Scenarios (Column Heading Indicates Method Selected)</v>
      </c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78"/>
      <c r="AC6" s="78"/>
      <c r="AD6" s="82" t="str">
        <f>P6</f>
        <v>Scenarios (Column Heading Indicates Method Selected)</v>
      </c>
      <c r="AE6" s="82"/>
      <c r="AF6" s="82"/>
      <c r="AG6" s="82"/>
      <c r="AH6" s="82"/>
      <c r="AI6" s="82"/>
      <c r="AJ6" s="82"/>
      <c r="AK6" s="82"/>
      <c r="AL6" s="82"/>
      <c r="AM6" s="82"/>
      <c r="AN6" s="82"/>
      <c r="AO6" s="82"/>
    </row>
    <row r="7" spans="1:41" x14ac:dyDescent="0.35">
      <c r="B7" s="84" t="s">
        <v>35</v>
      </c>
      <c r="C7" s="61"/>
      <c r="D7" s="61"/>
      <c r="E7" s="61"/>
      <c r="G7" s="84" t="s">
        <v>94</v>
      </c>
      <c r="H7" s="61"/>
      <c r="I7" s="61"/>
      <c r="J7" s="61"/>
      <c r="L7" s="84" t="s">
        <v>14</v>
      </c>
      <c r="M7" s="61"/>
      <c r="O7" s="78"/>
      <c r="P7" s="82" t="str">
        <f>B7</f>
        <v>Confidence Level</v>
      </c>
      <c r="Q7" s="82"/>
      <c r="R7" s="82"/>
      <c r="S7" s="82"/>
      <c r="T7" s="78"/>
      <c r="U7" s="82" t="str">
        <f>G7</f>
        <v>Cost of Capital</v>
      </c>
      <c r="V7" s="82"/>
      <c r="W7" s="82"/>
      <c r="X7" s="82"/>
      <c r="Y7" s="78"/>
      <c r="Z7" s="82" t="str">
        <f>L7</f>
        <v>Margin Factor</v>
      </c>
      <c r="AA7" s="82"/>
      <c r="AB7" s="78"/>
      <c r="AC7" s="78"/>
      <c r="AD7" s="82" t="str">
        <f>P7</f>
        <v>Confidence Level</v>
      </c>
      <c r="AE7" s="82"/>
      <c r="AF7" s="82"/>
      <c r="AG7" s="82"/>
      <c r="AH7" s="78"/>
      <c r="AI7" s="82" t="str">
        <f>U7</f>
        <v>Cost of Capital</v>
      </c>
      <c r="AJ7" s="82"/>
      <c r="AK7" s="82"/>
      <c r="AL7" s="82"/>
      <c r="AM7" s="78"/>
      <c r="AN7" s="82" t="str">
        <f>Z7</f>
        <v>Margin Factor</v>
      </c>
      <c r="AO7" s="82"/>
    </row>
    <row r="8" spans="1:41" x14ac:dyDescent="0.35">
      <c r="A8" s="57"/>
      <c r="B8" s="63">
        <v>1</v>
      </c>
      <c r="C8" s="62">
        <f>B8+1</f>
        <v>2</v>
      </c>
      <c r="D8" s="62">
        <f t="shared" ref="D8:M8" si="0">C8+1</f>
        <v>3</v>
      </c>
      <c r="E8" s="62">
        <f t="shared" si="0"/>
        <v>4</v>
      </c>
      <c r="F8" s="62"/>
      <c r="G8" s="62">
        <f>E8+1</f>
        <v>5</v>
      </c>
      <c r="H8" s="62">
        <f t="shared" si="0"/>
        <v>6</v>
      </c>
      <c r="I8" s="62">
        <f t="shared" si="0"/>
        <v>7</v>
      </c>
      <c r="J8" s="62">
        <f t="shared" si="0"/>
        <v>8</v>
      </c>
      <c r="K8" s="62"/>
      <c r="L8" s="62">
        <f>J8+1</f>
        <v>9</v>
      </c>
      <c r="M8" s="62">
        <f t="shared" si="0"/>
        <v>10</v>
      </c>
      <c r="O8" s="80"/>
      <c r="P8" s="83">
        <f>B8</f>
        <v>1</v>
      </c>
      <c r="Q8" s="83">
        <f>C8</f>
        <v>2</v>
      </c>
      <c r="R8" s="83">
        <f>D8</f>
        <v>3</v>
      </c>
      <c r="S8" s="83">
        <f>E8</f>
        <v>4</v>
      </c>
      <c r="T8" s="83"/>
      <c r="U8" s="83">
        <f>G8</f>
        <v>5</v>
      </c>
      <c r="V8" s="83">
        <f>H8</f>
        <v>6</v>
      </c>
      <c r="W8" s="83">
        <f>I8</f>
        <v>7</v>
      </c>
      <c r="X8" s="83">
        <f>J8</f>
        <v>8</v>
      </c>
      <c r="Y8" s="83"/>
      <c r="Z8" s="83">
        <f t="shared" ref="Z8:AA8" si="1">L8</f>
        <v>9</v>
      </c>
      <c r="AA8" s="83">
        <f t="shared" si="1"/>
        <v>10</v>
      </c>
      <c r="AB8" s="78"/>
      <c r="AC8" s="80"/>
      <c r="AD8" s="83">
        <v>1</v>
      </c>
      <c r="AE8" s="83">
        <f>+AD8+1</f>
        <v>2</v>
      </c>
      <c r="AF8" s="83">
        <f t="shared" ref="AF8" si="2">+AE8+1</f>
        <v>3</v>
      </c>
      <c r="AG8" s="83">
        <f t="shared" ref="AG8" si="3">+AF8+1</f>
        <v>4</v>
      </c>
      <c r="AH8" s="83"/>
      <c r="AI8" s="83">
        <f t="shared" ref="AI8" si="4">+AG8+1</f>
        <v>5</v>
      </c>
      <c r="AJ8" s="83">
        <f t="shared" ref="AJ8" si="5">+AI8+1</f>
        <v>6</v>
      </c>
      <c r="AK8" s="83">
        <f t="shared" ref="AK8" si="6">+AJ8+1</f>
        <v>7</v>
      </c>
      <c r="AL8" s="83">
        <f t="shared" ref="AL8" si="7">+AK8+1</f>
        <v>8</v>
      </c>
      <c r="AM8" s="83"/>
      <c r="AN8" s="83">
        <f t="shared" ref="AN8" si="8">+AL8+1</f>
        <v>9</v>
      </c>
      <c r="AO8" s="83">
        <f t="shared" ref="AO8" si="9">+AN8+1</f>
        <v>10</v>
      </c>
    </row>
    <row r="9" spans="1:41" x14ac:dyDescent="0.35"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/>
      <c r="AO9" s="78"/>
    </row>
    <row r="10" spans="1:41" ht="15.5" x14ac:dyDescent="0.35">
      <c r="A10" s="64" t="s">
        <v>106</v>
      </c>
      <c r="O10" s="65" t="str">
        <f>A10</f>
        <v>Section 1: Comparison of Scenarios</v>
      </c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65" t="str">
        <f>O10</f>
        <v>Section 1: Comparison of Scenarios</v>
      </c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8"/>
      <c r="AO10" s="78"/>
    </row>
    <row r="11" spans="1:41" x14ac:dyDescent="0.35">
      <c r="O11" s="78"/>
      <c r="P11" s="78"/>
      <c r="Q11" s="78"/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78"/>
      <c r="AF11" s="78"/>
      <c r="AG11" s="78"/>
      <c r="AH11" s="78"/>
      <c r="AI11" s="78"/>
      <c r="AJ11" s="78"/>
      <c r="AK11" s="78"/>
      <c r="AL11" s="78"/>
      <c r="AM11" s="78"/>
      <c r="AN11" s="78"/>
      <c r="AO11" s="78"/>
    </row>
    <row r="12" spans="1:41" x14ac:dyDescent="0.35">
      <c r="A12" s="85" t="s">
        <v>116</v>
      </c>
      <c r="O12" s="89" t="str">
        <f>A12</f>
        <v>Equivalent Parameters of Other Methods</v>
      </c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C12" s="89" t="str">
        <f>O12</f>
        <v>Equivalent Parameters of Other Methods</v>
      </c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</row>
    <row r="13" spans="1:41" ht="7" customHeight="1" x14ac:dyDescent="0.35"/>
    <row r="14" spans="1:41" x14ac:dyDescent="0.35">
      <c r="A14" s="11" t="s">
        <v>35</v>
      </c>
      <c r="B14" s="67">
        <v>0.75</v>
      </c>
      <c r="C14" s="68">
        <v>0.75</v>
      </c>
      <c r="D14" s="68">
        <v>0.9</v>
      </c>
      <c r="E14" s="69">
        <v>0.9</v>
      </c>
      <c r="G14" s="49">
        <f ca="1">(OFFSET(INDEX(Total_MonteCarlo!Distr_Table_Gross,MATCH(G21,RA_Distr_Gross,1),1),1,0)-INDEX(Total_MonteCarlo!Distr_Table_Gross,MATCH(G21,RA_Distr_Gross,1),1))/(OFFSET(INDEX(Total_MonteCarlo!Distr_Table_Gross,MATCH(G21,RA_Distr_Gross,1),13),1,0)-INDEX(Total_MonteCarlo!Distr_Table_Gross,MATCH(G21,RA_Distr_Gross,1),13))*(G21-INDEX(Total_MonteCarlo!Distr_Table_Gross,MATCH(G21,RA_Distr_Gross,1),13))+INDEX(Total_MonteCarlo!Distr_Table_Gross,MATCH(G21,RA_Distr_Gross,1),1)</f>
        <v>0.70766909955871338</v>
      </c>
      <c r="H14" s="49">
        <f ca="1">(OFFSET(INDEX(Total_MonteCarlo!Distr_Table_Gross,MATCH(H21,RA_Distr_Gross,1),1),1,0)-INDEX(Total_MonteCarlo!Distr_Table_Gross,MATCH(H21,RA_Distr_Gross,1),1))/(OFFSET(INDEX(Total_MonteCarlo!Distr_Table_Gross,MATCH(H21,RA_Distr_Gross,1),13),1,0)-INDEX(Total_MonteCarlo!Distr_Table_Gross,MATCH(H21,RA_Distr_Gross,1),13))*(H21-INDEX(Total_MonteCarlo!Distr_Table_Gross,MATCH(H21,RA_Distr_Gross,1),13))+INDEX(Total_MonteCarlo!Distr_Table_Gross,MATCH(H21,RA_Distr_Gross,1),1)</f>
        <v>0.77043073012005925</v>
      </c>
      <c r="I14" s="49">
        <f ca="1">(OFFSET(INDEX(Total_MonteCarlo!Distr_Table_Gross,MATCH(I21,RA_Distr_Gross,1),1),1,0)-INDEX(Total_MonteCarlo!Distr_Table_Gross,MATCH(I21,RA_Distr_Gross,1),1))/(OFFSET(INDEX(Total_MonteCarlo!Distr_Table_Gross,MATCH(I21,RA_Distr_Gross,1),13),1,0)-INDEX(Total_MonteCarlo!Distr_Table_Gross,MATCH(I21,RA_Distr_Gross,1),13))*(I21-INDEX(Total_MonteCarlo!Distr_Table_Gross,MATCH(I21,RA_Distr_Gross,1),13))+INDEX(Total_MonteCarlo!Distr_Table_Gross,MATCH(I21,RA_Distr_Gross,1),1)</f>
        <v>0.83168222783950596</v>
      </c>
      <c r="J14" s="49">
        <f ca="1">(OFFSET(INDEX(Total_MonteCarlo!Distr_Table_Gross,MATCH(J21,RA_Distr_Gross,1),1),1,0)-INDEX(Total_MonteCarlo!Distr_Table_Gross,MATCH(J21,RA_Distr_Gross,1),1))/(OFFSET(INDEX(Total_MonteCarlo!Distr_Table_Gross,MATCH(J21,RA_Distr_Gross,1),13),1,0)-INDEX(Total_MonteCarlo!Distr_Table_Gross,MATCH(J21,RA_Distr_Gross,1),13))*(J21-INDEX(Total_MonteCarlo!Distr_Table_Gross,MATCH(J21,RA_Distr_Gross,1),13))+INDEX(Total_MonteCarlo!Distr_Table_Gross,MATCH(J21,RA_Distr_Gross,1),1)</f>
        <v>0.90520453789247179</v>
      </c>
      <c r="K14" s="49"/>
      <c r="L14" s="49">
        <f ca="1">(OFFSET(INDEX(Total_MonteCarlo!Distr_Table_Gross,MATCH(L21,RA_Distr_Gross,1),1),1,0)-INDEX(Total_MonteCarlo!Distr_Table_Gross,MATCH(L21,RA_Distr_Gross,1),1))/(OFFSET(INDEX(Total_MonteCarlo!Distr_Table_Gross,MATCH(L21,RA_Distr_Gross,1),13),1,0)-INDEX(Total_MonteCarlo!Distr_Table_Gross,MATCH(L21,RA_Distr_Gross,1),13))*(L21-INDEX(Total_MonteCarlo!Distr_Table_Gross,MATCH(L21,RA_Distr_Gross,1),13))+INDEX(Total_MonteCarlo!Distr_Table_Gross,MATCH(L21,RA_Distr_Gross,1),1)</f>
        <v>0.75038905577542148</v>
      </c>
      <c r="M14" s="49">
        <f ca="1">(OFFSET(INDEX(Total_MonteCarlo!Distr_Table_Gross,MATCH(M21,RA_Distr_Gross,1),1),1,0)-INDEX(Total_MonteCarlo!Distr_Table_Gross,MATCH(M21,RA_Distr_Gross,1),1))/(OFFSET(INDEX(Total_MonteCarlo!Distr_Table_Gross,MATCH(M21,RA_Distr_Gross,1),13),1,0)-INDEX(Total_MonteCarlo!Distr_Table_Gross,MATCH(M21,RA_Distr_Gross,1),13))*(M21-INDEX(Total_MonteCarlo!Distr_Table_Gross,MATCH(M21,RA_Distr_Gross,1),13))+INDEX(Total_MonteCarlo!Distr_Table_Gross,MATCH(M21,RA_Distr_Gross,1),1)</f>
        <v>0.75038905577542148</v>
      </c>
      <c r="O14" s="11" t="s">
        <v>35</v>
      </c>
      <c r="P14" s="67">
        <f>+B14</f>
        <v>0.75</v>
      </c>
      <c r="Q14" s="68">
        <f>+C14</f>
        <v>0.75</v>
      </c>
      <c r="R14" s="68">
        <f>+D14</f>
        <v>0.9</v>
      </c>
      <c r="S14" s="69">
        <f>+E14</f>
        <v>0.9</v>
      </c>
      <c r="U14" s="49">
        <f t="shared" ref="U14:AA14" ca="1" si="10">(OFFSET(INDEX(Distr_Table_Net,MATCH(U21,RA_Distr_Net,1),1),1,0)-INDEX(Distr_Table_Net,MATCH(U21,RA_Distr_Net,1),1))/(OFFSET(INDEX(Distr_Table_Net,MATCH(U21,RA_Distr_Net,1),13),1,0)-INDEX(Distr_Table_Net,MATCH(U21,RA_Distr_Net,1),13))*(U21-INDEX(Distr_Table_Net,MATCH(U21,RA_Distr_Net,1),13))+INDEX(Distr_Table_Net,MATCH(U21,RA_Distr_Net,1),1)</f>
        <v>0.68352254217736919</v>
      </c>
      <c r="V14" s="49">
        <f t="shared" ca="1" si="10"/>
        <v>0.73859007160309775</v>
      </c>
      <c r="W14" s="49">
        <f t="shared" ca="1" si="10"/>
        <v>0.80695297945151701</v>
      </c>
      <c r="X14" s="49">
        <f t="shared" ca="1" si="10"/>
        <v>0.87799354457763834</v>
      </c>
      <c r="Y14" s="49"/>
      <c r="Z14" s="49">
        <f t="shared" ca="1" si="10"/>
        <v>0.7769880180682438</v>
      </c>
      <c r="AA14" s="49">
        <f t="shared" ca="1" si="10"/>
        <v>0.7769880180682438</v>
      </c>
      <c r="AC14" s="11" t="s">
        <v>35</v>
      </c>
      <c r="AD14" s="104" t="s">
        <v>120</v>
      </c>
      <c r="AE14" s="105"/>
      <c r="AF14" s="105"/>
      <c r="AG14" s="105"/>
      <c r="AH14" s="105"/>
      <c r="AI14" s="105"/>
      <c r="AJ14" s="105"/>
      <c r="AK14" s="105"/>
      <c r="AL14" s="105"/>
      <c r="AM14" s="105"/>
      <c r="AN14" s="105"/>
      <c r="AO14" s="106"/>
    </row>
    <row r="15" spans="1:41" ht="7" customHeight="1" x14ac:dyDescent="0.35">
      <c r="AD15" s="107"/>
      <c r="AE15" s="108"/>
      <c r="AF15" s="108"/>
      <c r="AG15" s="108"/>
      <c r="AH15" s="108"/>
      <c r="AI15" s="108"/>
      <c r="AJ15" s="108"/>
      <c r="AK15" s="108"/>
      <c r="AL15" s="108"/>
      <c r="AM15" s="108"/>
      <c r="AN15" s="108"/>
      <c r="AO15" s="109"/>
    </row>
    <row r="16" spans="1:41" x14ac:dyDescent="0.35">
      <c r="A16" s="11" t="s">
        <v>94</v>
      </c>
      <c r="B16" s="6">
        <f>B21/(VLOOKUP(B17,Total_MonteCarlo!Distr_Table_Gross,13,FALSE)*Total_MonteCarlo!$C$70*SUMPRODUCT(Total_MonteCarlo!$C$75:$M$75,Total_MonteCarlo!$C$79:$M$79))</f>
        <v>6.4551443057422817E-2</v>
      </c>
      <c r="C16" s="6">
        <f>C21/(VLOOKUP(C17,Total_MonteCarlo!Distr_Table_Gross,13,FALSE)*Total_MonteCarlo!$C$70*SUMPRODUCT(Total_MonteCarlo!$C$75:$M$75,Total_MonteCarlo!$C$79:$M$79))</f>
        <v>4.4356554777547276E-2</v>
      </c>
      <c r="D16" s="6">
        <f>D21/(VLOOKUP(D17,Total_MonteCarlo!Distr_Table_Gross,13,FALSE)*Total_MonteCarlo!$C$70*SUMPRODUCT(Total_MonteCarlo!$C$75:$M$75,Total_MonteCarlo!$C$79:$M$79))</f>
        <v>0.14031044416854035</v>
      </c>
      <c r="E16" s="6">
        <f>E21/(VLOOKUP(E17,Total_MonteCarlo!Distr_Table_Gross,13,FALSE)*Total_MonteCarlo!$C$70*SUMPRODUCT(Total_MonteCarlo!$C$75:$M$75,Total_MonteCarlo!$C$79:$M$79))</f>
        <v>9.6414388398528325E-2</v>
      </c>
      <c r="F16" s="6"/>
      <c r="G16" s="72">
        <v>0.05</v>
      </c>
      <c r="H16" s="73">
        <v>0.05</v>
      </c>
      <c r="I16" s="73">
        <v>0.1</v>
      </c>
      <c r="J16" s="74">
        <v>0.1</v>
      </c>
      <c r="L16" s="6">
        <f>L21/(VLOOKUP(L17,Total_MonteCarlo!Distr_Table_Gross,13,FALSE)*Total_MonteCarlo!$C$70*SUMPRODUCT(Total_MonteCarlo!$C$75:$M$75,Total_MonteCarlo!$C$79:$M$79))</f>
        <v>6.4707565348985266E-2</v>
      </c>
      <c r="M16" s="6">
        <f>M21/(VLOOKUP(M17,Total_MonteCarlo!Distr_Table_Gross,13,FALSE)*Total_MonteCarlo!$C$70*SUMPRODUCT(Total_MonteCarlo!$C$75:$M$75,Total_MonteCarlo!$C$79:$M$79))</f>
        <v>4.4463834284397735E-2</v>
      </c>
      <c r="O16" s="11" t="s">
        <v>94</v>
      </c>
      <c r="P16" s="6">
        <f>P21/(VLOOKUP(P17,Distr_Table_Net,13,FALSE)*Total_MonteCarlo!$R$70*SUMPRODUCT(Total_MonteCarlo!$R$75:$AB$75,Total_MonteCarlo!$R$79:$AB$79))</f>
        <v>7.4763878263080411E-2</v>
      </c>
      <c r="Q16" s="6">
        <f>Q21/(VLOOKUP(Q17,Distr_Table_Net,13,FALSE)*Total_MonteCarlo!$R$70*SUMPRODUCT(Total_MonteCarlo!$R$75:$AB$75,Total_MonteCarlo!$R$79:$AB$79))</f>
        <v>5.2967273474617688E-2</v>
      </c>
      <c r="R16" s="6">
        <f>R21/(VLOOKUP(R17,Distr_Table_Net,13,FALSE)*Total_MonteCarlo!$R$70*SUMPRODUCT(Total_MonteCarlo!$R$75:$AB$75,Total_MonteCarlo!$R$79:$AB$79))</f>
        <v>0.15522780496847699</v>
      </c>
      <c r="S16" s="6">
        <f>S21/(VLOOKUP(S17,Distr_Table_Net,13,FALSE)*Total_MonteCarlo!$R$70*SUMPRODUCT(Total_MonteCarlo!$R$75:$AB$75,Total_MonteCarlo!$R$79:$AB$79))</f>
        <v>0.10997280755953091</v>
      </c>
      <c r="T16" s="6"/>
      <c r="U16" s="72">
        <v>0.05</v>
      </c>
      <c r="V16" s="73">
        <v>0.05</v>
      </c>
      <c r="W16" s="73">
        <v>0.1</v>
      </c>
      <c r="X16" s="74">
        <v>0.1</v>
      </c>
      <c r="Z16" s="6">
        <f>Z21/(VLOOKUP(Z17,Distr_Table_Net,13,FALSE)*Total_MonteCarlo!$R$70*SUMPRODUCT(Total_MonteCarlo!$R$75:$AB$75,Total_MonteCarlo!$R$79:$AB$79))</f>
        <v>8.6419712879459626E-2</v>
      </c>
      <c r="AA16" s="6">
        <f>AA21/(VLOOKUP(AA17,Distr_Table_Net,13,FALSE)*Total_MonteCarlo!$R$70*SUMPRODUCT(Total_MonteCarlo!$R$75:$AB$75,Total_MonteCarlo!$R$79:$AB$79))</f>
        <v>6.1224974841155057E-2</v>
      </c>
      <c r="AC16" s="11" t="s">
        <v>94</v>
      </c>
      <c r="AD16" s="107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9"/>
    </row>
    <row r="17" spans="1:41" x14ac:dyDescent="0.35">
      <c r="A17" s="3" t="s">
        <v>95</v>
      </c>
      <c r="B17" s="6">
        <v>0.99</v>
      </c>
      <c r="C17" s="6">
        <v>0.999</v>
      </c>
      <c r="D17" s="6">
        <v>0.99</v>
      </c>
      <c r="E17" s="6">
        <v>0.999</v>
      </c>
      <c r="F17" s="6"/>
      <c r="G17" s="75">
        <v>0.99</v>
      </c>
      <c r="H17" s="76">
        <v>0.999</v>
      </c>
      <c r="I17" s="76">
        <v>0.99</v>
      </c>
      <c r="J17" s="77">
        <v>0.999</v>
      </c>
      <c r="L17" s="6">
        <v>0.99</v>
      </c>
      <c r="M17" s="6">
        <v>0.999</v>
      </c>
      <c r="O17" s="3" t="s">
        <v>95</v>
      </c>
      <c r="P17" s="6">
        <v>0.99</v>
      </c>
      <c r="Q17" s="6">
        <v>0.999</v>
      </c>
      <c r="R17" s="6">
        <v>0.99</v>
      </c>
      <c r="S17" s="6">
        <v>0.999</v>
      </c>
      <c r="T17" s="6"/>
      <c r="U17" s="75">
        <v>0.99</v>
      </c>
      <c r="V17" s="76">
        <v>0.999</v>
      </c>
      <c r="W17" s="76">
        <v>0.99</v>
      </c>
      <c r="X17" s="77">
        <v>0.999</v>
      </c>
      <c r="Z17" s="6">
        <v>0.99</v>
      </c>
      <c r="AA17" s="6">
        <v>0.999</v>
      </c>
      <c r="AC17" s="3" t="s">
        <v>95</v>
      </c>
      <c r="AD17" s="107"/>
      <c r="AE17" s="108"/>
      <c r="AF17" s="108"/>
      <c r="AG17" s="108"/>
      <c r="AH17" s="108"/>
      <c r="AI17" s="108"/>
      <c r="AJ17" s="108"/>
      <c r="AK17" s="108"/>
      <c r="AL17" s="108"/>
      <c r="AM17" s="108"/>
      <c r="AN17" s="108"/>
      <c r="AO17" s="109"/>
    </row>
    <row r="18" spans="1:41" ht="7" customHeight="1" x14ac:dyDescent="0.35">
      <c r="AD18" s="107"/>
      <c r="AE18" s="108"/>
      <c r="AF18" s="108"/>
      <c r="AG18" s="108"/>
      <c r="AH18" s="108"/>
      <c r="AI18" s="108"/>
      <c r="AJ18" s="108"/>
      <c r="AK18" s="108"/>
      <c r="AL18" s="108"/>
      <c r="AM18" s="108"/>
      <c r="AN18" s="108"/>
      <c r="AO18" s="109"/>
    </row>
    <row r="19" spans="1:41" x14ac:dyDescent="0.35">
      <c r="A19" s="11" t="s">
        <v>14</v>
      </c>
      <c r="B19" s="6">
        <f>B21/Total_MonteCarlo!Implied_Mean_Gross</f>
        <v>0.11222862488958944</v>
      </c>
      <c r="C19" s="6">
        <f>C21/Total_MonteCarlo!Implied_Mean_Gross</f>
        <v>0.11222862488958944</v>
      </c>
      <c r="D19" s="6">
        <f>D21/Total_MonteCarlo!Implied_Mean_Gross</f>
        <v>0.24394262096782135</v>
      </c>
      <c r="E19" s="6">
        <f>E21/Total_MonteCarlo!Implied_Mean_Gross</f>
        <v>0.24394262096782135</v>
      </c>
      <c r="F19" s="6"/>
      <c r="G19" s="6">
        <f>G21/Total_MonteCarlo!Implied_Mean_Gross</f>
        <v>8.6929601860143216E-2</v>
      </c>
      <c r="H19" s="6">
        <f>H21/Total_MonteCarlo!Implied_Mean_Gross</f>
        <v>0.12648255495866767</v>
      </c>
      <c r="I19" s="6">
        <f>I21/Total_MonteCarlo!Implied_Mean_Gross</f>
        <v>0.17385920372028643</v>
      </c>
      <c r="J19" s="6">
        <f>J21/Total_MonteCarlo!Implied_Mean_Gross</f>
        <v>0.25296510991733534</v>
      </c>
      <c r="K19" s="6"/>
      <c r="L19" s="70">
        <f>L21/Total_MonteCarlo!Implied_Mean_Gross</f>
        <v>0.11250005786252978</v>
      </c>
      <c r="M19" s="71">
        <f>M21/Total_MonteCarlo!Implied_Mean_Gross</f>
        <v>0.11250005786252978</v>
      </c>
      <c r="O19" s="11" t="s">
        <v>14</v>
      </c>
      <c r="P19" s="6">
        <f>P21/Total_MonteCarlo!Implied_Mean_Net</f>
        <v>7.930316731170807E-2</v>
      </c>
      <c r="Q19" s="6">
        <f>Q21/Total_MonteCarlo!Implied_Mean_Net</f>
        <v>7.930316731170807E-2</v>
      </c>
      <c r="R19" s="6">
        <f>R21/Total_MonteCarlo!Implied_Mean_Net</f>
        <v>0.16465246152062205</v>
      </c>
      <c r="S19" s="6">
        <f>S21/Total_MonteCarlo!Implied_Mean_Net</f>
        <v>0.16465246152062205</v>
      </c>
      <c r="T19" s="6"/>
      <c r="U19" s="6">
        <f>U21/Total_MonteCarlo!Implied_Mean_Net</f>
        <v>5.3035750120301879E-2</v>
      </c>
      <c r="V19" s="6">
        <f>V21/Total_MonteCarlo!Implied_Mean_Net</f>
        <v>7.4697479524952731E-2</v>
      </c>
      <c r="W19" s="6">
        <f>W21/Total_MonteCarlo!Implied_Mean_Net</f>
        <v>0.10607150024060376</v>
      </c>
      <c r="X19" s="6">
        <f>X21/Total_MonteCarlo!Implied_Mean_Net</f>
        <v>0.14939495904990546</v>
      </c>
      <c r="Y19" s="6"/>
      <c r="Z19" s="70">
        <f>Z21/Total_MonteCarlo!Implied_Mean_Net</f>
        <v>9.1666685954865115E-2</v>
      </c>
      <c r="AA19" s="71">
        <f>AA21/Total_MonteCarlo!Implied_Mean_Net</f>
        <v>9.1666685954865115E-2</v>
      </c>
      <c r="AC19" s="11" t="s">
        <v>14</v>
      </c>
      <c r="AD19" s="110"/>
      <c r="AE19" s="111"/>
      <c r="AF19" s="111"/>
      <c r="AG19" s="111"/>
      <c r="AH19" s="111"/>
      <c r="AI19" s="111"/>
      <c r="AJ19" s="111"/>
      <c r="AK19" s="111"/>
      <c r="AL19" s="111"/>
      <c r="AM19" s="111"/>
      <c r="AN19" s="111"/>
      <c r="AO19" s="112"/>
    </row>
    <row r="20" spans="1:41" ht="7" customHeight="1" x14ac:dyDescent="0.35"/>
    <row r="21" spans="1:41" x14ac:dyDescent="0.35">
      <c r="A21" s="99" t="s">
        <v>96</v>
      </c>
      <c r="B21" s="100">
        <f>VLOOKUP(B$14,Total_MonteCarlo!$B$30:$N$51,2,FALSE)-Total_MonteCarlo!Implied_Mean_Gross</f>
        <v>6733.7140300000028</v>
      </c>
      <c r="C21" s="100">
        <f>VLOOKUP(C$14,Total_MonteCarlo!$B$30:$N$51,2,FALSE)-Total_MonteCarlo!Implied_Mean_Gross</f>
        <v>6733.7140300000028</v>
      </c>
      <c r="D21" s="100">
        <f>VLOOKUP(D$14,Total_MonteCarlo!$B$30:$N$51,2,FALSE)-Total_MonteCarlo!Implied_Mean_Gross</f>
        <v>14636.549729999999</v>
      </c>
      <c r="E21" s="100">
        <f>VLOOKUP(E$14,Total_MonteCarlo!$B$30:$N$51,2,FALSE)-Total_MonteCarlo!Implied_Mean_Gross</f>
        <v>14636.549729999999</v>
      </c>
      <c r="F21" s="100"/>
      <c r="G21" s="100">
        <f>G16*Total_MonteCarlo!$C$70*SUMPRODUCT(Total_MonteCarlo!$C$49:$M$49-Total_MonteCarlo!$C$9:$M$9,Total_MonteCarlo!$C$79:$M$79)</f>
        <v>5215.7734289610798</v>
      </c>
      <c r="H21" s="100">
        <f>H16*Total_MonteCarlo!$C$70*SUMPRODUCT(Total_MonteCarlo!$C$51:$M$51-Total_MonteCarlo!$C$9:$M$9,Total_MonteCarlo!$C$79:$M$79)</f>
        <v>7588.9493942684148</v>
      </c>
      <c r="I21" s="100">
        <f>I16*Total_MonteCarlo!$C$70*SUMPRODUCT(Total_MonteCarlo!$C$49:$M$49-Total_MonteCarlo!$C$9:$M$9,Total_MonteCarlo!$C$79:$M$79)</f>
        <v>10431.54685792216</v>
      </c>
      <c r="J21" s="100">
        <f>J16*Total_MonteCarlo!$C$70*SUMPRODUCT(Total_MonteCarlo!$C$51:$M$51-Total_MonteCarlo!$C$9:$M$9,Total_MonteCarlo!$C$79:$M$79)</f>
        <v>15177.89878853683</v>
      </c>
      <c r="K21" s="100"/>
      <c r="L21" s="100">
        <f>Total_MonteCarlo!D100</f>
        <v>6750.0000000000018</v>
      </c>
      <c r="M21" s="100">
        <f>Total_MonteCarlo!D100</f>
        <v>6750.0000000000018</v>
      </c>
      <c r="O21" s="99" t="s">
        <v>96</v>
      </c>
      <c r="P21" s="100">
        <f>VLOOKUP(P$14,Total_MonteCarlo!$Q$30:$AC$51,13,FALSE)</f>
        <v>3806.5512299999973</v>
      </c>
      <c r="Q21" s="100">
        <f>VLOOKUP(Q$14,Total_MonteCarlo!$Q$30:$AC$51,13,FALSE)</f>
        <v>3806.5512299999973</v>
      </c>
      <c r="R21" s="100">
        <f>VLOOKUP(R$14,Total_MonteCarlo!$Q$30:$AC$51,13,FALSE)</f>
        <v>7903.3164899999974</v>
      </c>
      <c r="S21" s="100">
        <f>VLOOKUP(S$14,Total_MonteCarlo!$Q$30:$AC$51,13,FALSE)</f>
        <v>7903.3164899999974</v>
      </c>
      <c r="T21" s="100"/>
      <c r="U21" s="100">
        <f>U16*Total_MonteCarlo!$R$70*SUMPRODUCT(Total_MonteCarlo!$R$49:$AB$49-Total_MonteCarlo!$R$9:$AB$9,Total_MonteCarlo!$R$79:$AB$79)</f>
        <v>2545.7154701134141</v>
      </c>
      <c r="V21" s="100">
        <f>V16*Total_MonteCarlo!$R$70*SUMPRODUCT(Total_MonteCarlo!$R$51:$AB$51-Total_MonteCarlo!$R$9:$AB$9,Total_MonteCarlo!$R$79:$AB$79)</f>
        <v>3585.4782627531877</v>
      </c>
      <c r="W21" s="100">
        <f>W16*Total_MonteCarlo!$R$70*SUMPRODUCT(Total_MonteCarlo!$R$49:$AB$49-Total_MonteCarlo!$R$9:$AB$9,Total_MonteCarlo!$R$79:$AB$79)</f>
        <v>5091.4309402268282</v>
      </c>
      <c r="X21" s="100">
        <f>X16*Total_MonteCarlo!$R$70*SUMPRODUCT(Total_MonteCarlo!$R$51:$AB$51-Total_MonteCarlo!$R$9:$AB$9,Total_MonteCarlo!$R$79:$AB$79)</f>
        <v>7170.9565255063753</v>
      </c>
      <c r="Y21" s="100"/>
      <c r="Z21" s="100">
        <f>Total_MonteCarlo!S100</f>
        <v>4399.9999999999973</v>
      </c>
      <c r="AA21" s="100">
        <f>Total_MonteCarlo!S100</f>
        <v>4399.9999999999973</v>
      </c>
      <c r="AC21" s="99" t="s">
        <v>96</v>
      </c>
      <c r="AD21" s="100">
        <f>B21-P21</f>
        <v>2927.1628000000055</v>
      </c>
      <c r="AE21" s="100">
        <f>C21-Q21</f>
        <v>2927.1628000000055</v>
      </c>
      <c r="AF21" s="100">
        <f>D21-R21</f>
        <v>6733.2332400000014</v>
      </c>
      <c r="AG21" s="100">
        <f>E21-S21</f>
        <v>6733.2332400000014</v>
      </c>
      <c r="AH21" s="100"/>
      <c r="AI21" s="100">
        <f>G21-U21</f>
        <v>2670.0579588476658</v>
      </c>
      <c r="AJ21" s="100">
        <f>H21-V21</f>
        <v>4003.4711315152272</v>
      </c>
      <c r="AK21" s="100">
        <f>I21-W21</f>
        <v>5340.1159176953315</v>
      </c>
      <c r="AL21" s="100">
        <f>J21-X21</f>
        <v>8006.9422630304543</v>
      </c>
      <c r="AM21" s="100"/>
      <c r="AN21" s="100">
        <f>L21-Z21</f>
        <v>2350.0000000000045</v>
      </c>
      <c r="AO21" s="100">
        <f>M21-AA21</f>
        <v>2350.0000000000045</v>
      </c>
    </row>
    <row r="22" spans="1:41" x14ac:dyDescent="0.35">
      <c r="G22" s="7"/>
      <c r="H22" s="7"/>
      <c r="I22" s="7"/>
      <c r="J22" s="7"/>
      <c r="K22" s="7"/>
      <c r="O22" s="78"/>
      <c r="P22" s="78"/>
      <c r="Q22" s="78"/>
      <c r="R22" s="78"/>
      <c r="S22" s="78"/>
      <c r="T22" s="78"/>
      <c r="U22" s="90"/>
      <c r="V22" s="90"/>
      <c r="W22" s="90"/>
      <c r="X22" s="7"/>
      <c r="Y22" s="7"/>
      <c r="AC22" s="78"/>
      <c r="AD22" s="78"/>
      <c r="AE22" s="78"/>
      <c r="AF22" s="78"/>
      <c r="AG22" s="78"/>
      <c r="AH22" s="78"/>
      <c r="AI22" s="90"/>
      <c r="AJ22" s="90"/>
      <c r="AK22" s="90"/>
      <c r="AL22" s="7"/>
      <c r="AM22" s="7"/>
    </row>
    <row r="23" spans="1:41" x14ac:dyDescent="0.35">
      <c r="A23" s="85" t="s">
        <v>117</v>
      </c>
      <c r="O23" s="89" t="str">
        <f>A23</f>
        <v>Allocation by Long-Tail and Short-Tail Portfolios</v>
      </c>
      <c r="P23" s="78"/>
      <c r="Q23" s="78"/>
      <c r="R23" s="78"/>
      <c r="S23" s="78"/>
      <c r="T23" s="78"/>
      <c r="U23" s="78"/>
      <c r="V23" s="78"/>
      <c r="W23" s="78"/>
      <c r="AC23" s="89" t="str">
        <f>O23</f>
        <v>Allocation by Long-Tail and Short-Tail Portfolios</v>
      </c>
      <c r="AD23" s="78"/>
      <c r="AE23" s="78"/>
      <c r="AF23" s="78"/>
      <c r="AG23" s="78"/>
      <c r="AH23" s="78"/>
      <c r="AI23" s="78"/>
      <c r="AJ23" s="78"/>
      <c r="AK23" s="78"/>
    </row>
    <row r="24" spans="1:41" x14ac:dyDescent="0.35">
      <c r="O24" s="78"/>
      <c r="P24" s="78"/>
      <c r="Q24" s="78"/>
      <c r="R24" s="78"/>
      <c r="S24" s="78"/>
      <c r="T24" s="78"/>
      <c r="U24" s="78"/>
      <c r="V24" s="78"/>
      <c r="W24" s="78"/>
      <c r="AC24" s="78"/>
      <c r="AD24" s="78"/>
      <c r="AE24" s="78"/>
      <c r="AF24" s="78"/>
      <c r="AG24" s="78"/>
      <c r="AH24" s="78"/>
      <c r="AI24" s="78"/>
      <c r="AJ24" s="78"/>
      <c r="AK24" s="78"/>
    </row>
    <row r="25" spans="1:41" x14ac:dyDescent="0.35">
      <c r="A25" s="11" t="s">
        <v>35</v>
      </c>
      <c r="O25" s="91" t="str">
        <f>A25</f>
        <v>Confidence Level</v>
      </c>
      <c r="P25" s="78"/>
      <c r="Q25" s="78"/>
      <c r="R25" s="78"/>
      <c r="S25" s="78"/>
      <c r="T25" s="78"/>
      <c r="U25" s="78"/>
      <c r="V25" s="78"/>
      <c r="W25" s="78"/>
      <c r="AC25" s="91" t="str">
        <f>O25</f>
        <v>Confidence Level</v>
      </c>
      <c r="AD25" s="78"/>
      <c r="AE25" s="78"/>
      <c r="AF25" s="78"/>
      <c r="AG25" s="78"/>
      <c r="AH25" s="78"/>
      <c r="AI25" s="78"/>
      <c r="AJ25" s="78"/>
      <c r="AK25" s="78"/>
    </row>
    <row r="26" spans="1:41" x14ac:dyDescent="0.35">
      <c r="A26" s="8" t="s">
        <v>118</v>
      </c>
      <c r="B26" s="5">
        <f>+B61/B63*B21</f>
        <v>5270.5586365225454</v>
      </c>
      <c r="C26" s="5">
        <f>+C61/C63*C21</f>
        <v>5270.5586365225454</v>
      </c>
      <c r="D26" s="5">
        <f>+D61/D63*D21</f>
        <v>11262.223139956919</v>
      </c>
      <c r="E26" s="5">
        <f>+E61/E63*E21</f>
        <v>11262.223139956919</v>
      </c>
      <c r="F26" s="5"/>
      <c r="G26" s="5">
        <f ca="1">+G61/G63*G21</f>
        <v>4111.0338488385769</v>
      </c>
      <c r="H26" s="5">
        <f ca="1">+H61/H63*H21</f>
        <v>5923.7503645461184</v>
      </c>
      <c r="I26" s="5">
        <f ca="1">+I61/I63*I21</f>
        <v>8085.8483198859667</v>
      </c>
      <c r="J26" s="5">
        <f ca="1">+J61/J63*J21</f>
        <v>11671.699088051166</v>
      </c>
      <c r="K26" s="5"/>
      <c r="L26" s="5">
        <f ca="1">+L61/L63*L21</f>
        <v>5283.0153599137375</v>
      </c>
      <c r="M26" s="5">
        <f ca="1">+M61/M63*M21</f>
        <v>5283.0153599137375</v>
      </c>
      <c r="O26" s="78" t="str">
        <f>$A$26</f>
        <v>Long-Tail</v>
      </c>
      <c r="P26" s="92">
        <f>+P61/P63*P21</f>
        <v>2674.915451328372</v>
      </c>
      <c r="Q26" s="92">
        <f>+Q61/Q63*Q21</f>
        <v>2674.915451328372</v>
      </c>
      <c r="R26" s="92">
        <f>+R61/R63*R21</f>
        <v>5332.015238351898</v>
      </c>
      <c r="S26" s="92">
        <f>+S61/S63*S21</f>
        <v>5332.015238351898</v>
      </c>
      <c r="T26" s="92"/>
      <c r="U26" s="92">
        <f ca="1">+U61/U63*U21</f>
        <v>1839.002834386225</v>
      </c>
      <c r="V26" s="92">
        <f ca="1">+V61/V63*V21</f>
        <v>2529.2801325361838</v>
      </c>
      <c r="W26" s="92">
        <f ca="1">+W61/W63*W21</f>
        <v>3519.2256645427224</v>
      </c>
      <c r="X26" s="5">
        <f ca="1">+X61/X63*X21</f>
        <v>4866.9129612227434</v>
      </c>
      <c r="Y26" s="5"/>
      <c r="Z26" s="5">
        <f ca="1">+Z61/Z63*Z21</f>
        <v>3066.4930247565335</v>
      </c>
      <c r="AA26" s="5">
        <f ca="1">+AA61/AA63*AA21</f>
        <v>3066.4930247565335</v>
      </c>
      <c r="AC26" s="78" t="str">
        <f>$A$26</f>
        <v>Long-Tail</v>
      </c>
      <c r="AD26" s="92">
        <f>+AD61/AD63*AD21</f>
        <v>2620.842606864047</v>
      </c>
      <c r="AE26" s="92">
        <f>+AE61/AE63*AE21</f>
        <v>2620.842606864047</v>
      </c>
      <c r="AF26" s="92">
        <f>+AF61/AF63*AF21</f>
        <v>6016.4322180685049</v>
      </c>
      <c r="AG26" s="92">
        <f>+AG61/AG63*AG21</f>
        <v>6016.4322180685049</v>
      </c>
      <c r="AH26" s="92"/>
      <c r="AI26" s="92">
        <f ca="1">+AI61/AI63*AI21</f>
        <v>2280.094377762176</v>
      </c>
      <c r="AJ26" s="92">
        <f ca="1">+AJ61/AJ63*AJ21</f>
        <v>3410.3447077319679</v>
      </c>
      <c r="AK26" s="92">
        <f ca="1">+AK61/AK63*AK21</f>
        <v>4601.8547101268368</v>
      </c>
      <c r="AL26" s="5">
        <f ca="1">+AL61/AL63*AL21</f>
        <v>6855.9142083720963</v>
      </c>
      <c r="AM26" s="5"/>
      <c r="AN26" s="5">
        <f ca="1">+AN61/AN63*AN21</f>
        <v>2259.8111175211052</v>
      </c>
      <c r="AO26" s="5">
        <f ca="1">+AO61/AO63*AO21</f>
        <v>2259.8111175211052</v>
      </c>
    </row>
    <row r="27" spans="1:41" x14ac:dyDescent="0.35">
      <c r="A27" s="8" t="s">
        <v>119</v>
      </c>
      <c r="B27" s="7">
        <f>+B21-B26</f>
        <v>1463.1553934774574</v>
      </c>
      <c r="C27" s="7">
        <f>+C21-C26</f>
        <v>1463.1553934774574</v>
      </c>
      <c r="D27" s="7">
        <f>+D21-D26</f>
        <v>3374.3265900430797</v>
      </c>
      <c r="E27" s="7">
        <f>+E21-E26</f>
        <v>3374.3265900430797</v>
      </c>
      <c r="F27" s="7"/>
      <c r="G27" s="7">
        <f ca="1">+G21-G26</f>
        <v>1104.739580122503</v>
      </c>
      <c r="H27" s="7">
        <f ca="1">+H21-H26</f>
        <v>1665.1990297222965</v>
      </c>
      <c r="I27" s="7">
        <f ca="1">+I21-I26</f>
        <v>2345.698538036193</v>
      </c>
      <c r="J27" s="7">
        <f ca="1">+J21-J26</f>
        <v>3506.1997004856639</v>
      </c>
      <c r="K27" s="7"/>
      <c r="L27" s="7">
        <f ca="1">+L21-L26</f>
        <v>1466.9846400862643</v>
      </c>
      <c r="M27" s="7">
        <f ca="1">+M21-M26</f>
        <v>1466.9846400862643</v>
      </c>
      <c r="O27" s="78" t="str">
        <f>$A$27</f>
        <v>Short-Tail</v>
      </c>
      <c r="P27" s="90">
        <f>+P21-P26</f>
        <v>1131.6357786716253</v>
      </c>
      <c r="Q27" s="90">
        <f>+Q21-Q26</f>
        <v>1131.6357786716253</v>
      </c>
      <c r="R27" s="90">
        <f>+R21-R26</f>
        <v>2571.3012516480994</v>
      </c>
      <c r="S27" s="90">
        <f>+S21-S26</f>
        <v>2571.3012516480994</v>
      </c>
      <c r="T27" s="90"/>
      <c r="U27" s="90">
        <f ca="1">+U21-U26</f>
        <v>706.71263572718908</v>
      </c>
      <c r="V27" s="90">
        <f ca="1">+V21-V26</f>
        <v>1056.1981302170038</v>
      </c>
      <c r="W27" s="90">
        <f ca="1">+W21-W26</f>
        <v>1572.2052756841058</v>
      </c>
      <c r="X27" s="7">
        <f ca="1">+X21-X26</f>
        <v>2304.0435642836319</v>
      </c>
      <c r="Y27" s="7"/>
      <c r="Z27" s="7">
        <f ca="1">+Z21-Z26</f>
        <v>1333.5069752434638</v>
      </c>
      <c r="AA27" s="7">
        <f ca="1">+AA21-AA26</f>
        <v>1333.5069752434638</v>
      </c>
      <c r="AC27" s="78" t="str">
        <f>$A$27</f>
        <v>Short-Tail</v>
      </c>
      <c r="AD27" s="90">
        <f>+AD21-AD26</f>
        <v>306.32019313595856</v>
      </c>
      <c r="AE27" s="90">
        <f>+AE21-AE26</f>
        <v>306.32019313595856</v>
      </c>
      <c r="AF27" s="90">
        <f>+AF21-AF26</f>
        <v>716.80102193149651</v>
      </c>
      <c r="AG27" s="90">
        <f>+AG21-AG26</f>
        <v>716.80102193149651</v>
      </c>
      <c r="AH27" s="90"/>
      <c r="AI27" s="90">
        <f ca="1">+AI21-AI26</f>
        <v>389.96358108548975</v>
      </c>
      <c r="AJ27" s="90">
        <f ca="1">+AJ21-AJ26</f>
        <v>593.12642378325927</v>
      </c>
      <c r="AK27" s="90">
        <f ca="1">+AK21-AK26</f>
        <v>738.26120756849468</v>
      </c>
      <c r="AL27" s="7">
        <f ca="1">+AL21-AL26</f>
        <v>1151.0280546583581</v>
      </c>
      <c r="AM27" s="7"/>
      <c r="AN27" s="7">
        <f ca="1">+AN21-AN26</f>
        <v>90.188882478899359</v>
      </c>
      <c r="AO27" s="7">
        <f ca="1">+AO21-AO26</f>
        <v>90.188882478899359</v>
      </c>
    </row>
    <row r="28" spans="1:41" x14ac:dyDescent="0.35"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O28" s="78"/>
      <c r="P28" s="90"/>
      <c r="Q28" s="90"/>
      <c r="R28" s="90"/>
      <c r="S28" s="90"/>
      <c r="T28" s="90"/>
      <c r="U28" s="90"/>
      <c r="V28" s="90"/>
      <c r="W28" s="90"/>
      <c r="X28" s="7"/>
      <c r="Y28" s="7"/>
      <c r="Z28" s="7"/>
      <c r="AA28" s="7"/>
      <c r="AC28" s="78"/>
      <c r="AD28" s="90"/>
      <c r="AE28" s="90"/>
      <c r="AF28" s="90"/>
      <c r="AG28" s="90"/>
      <c r="AH28" s="90"/>
      <c r="AI28" s="90"/>
      <c r="AJ28" s="90"/>
      <c r="AK28" s="90"/>
      <c r="AL28" s="7"/>
      <c r="AM28" s="7"/>
      <c r="AN28" s="7"/>
      <c r="AO28" s="7"/>
    </row>
    <row r="29" spans="1:41" x14ac:dyDescent="0.35">
      <c r="A29" s="86" t="s">
        <v>97</v>
      </c>
      <c r="O29" s="93" t="str">
        <f>A29</f>
        <v>Using Same Approach as Overall</v>
      </c>
      <c r="P29" s="78"/>
      <c r="Q29" s="78"/>
      <c r="R29" s="78"/>
      <c r="S29" s="78"/>
      <c r="T29" s="78"/>
      <c r="U29" s="78"/>
      <c r="V29" s="78"/>
      <c r="W29" s="78"/>
      <c r="AC29" s="93" t="str">
        <f>O29</f>
        <v>Using Same Approach as Overall</v>
      </c>
      <c r="AD29" s="78"/>
      <c r="AE29" s="78"/>
      <c r="AF29" s="78"/>
      <c r="AG29" s="78"/>
      <c r="AH29" s="78"/>
      <c r="AI29" s="78"/>
      <c r="AJ29" s="78"/>
      <c r="AK29" s="78"/>
    </row>
    <row r="30" spans="1:41" ht="7" customHeight="1" x14ac:dyDescent="0.35">
      <c r="A30" s="86"/>
      <c r="O30" s="93"/>
      <c r="P30" s="78"/>
      <c r="Q30" s="78"/>
      <c r="R30" s="78"/>
      <c r="S30" s="78"/>
      <c r="T30" s="78"/>
      <c r="U30" s="78"/>
      <c r="V30" s="78"/>
      <c r="W30" s="78"/>
      <c r="AC30" s="93"/>
      <c r="AD30" s="78"/>
      <c r="AE30" s="78"/>
      <c r="AF30" s="78"/>
      <c r="AG30" s="78"/>
      <c r="AH30" s="78"/>
      <c r="AI30" s="78"/>
      <c r="AJ30" s="78"/>
      <c r="AK30" s="78"/>
    </row>
    <row r="31" spans="1:41" ht="15" customHeight="1" x14ac:dyDescent="0.35">
      <c r="A31" s="11" t="s">
        <v>98</v>
      </c>
      <c r="O31" s="91" t="str">
        <f>A31</f>
        <v>Pro rata</v>
      </c>
      <c r="P31" s="78"/>
      <c r="Q31" s="78"/>
      <c r="R31" s="78"/>
      <c r="S31" s="78"/>
      <c r="T31" s="78"/>
      <c r="U31" s="78"/>
      <c r="V31" s="78"/>
      <c r="W31" s="78"/>
      <c r="AC31" s="91" t="str">
        <f>O31</f>
        <v>Pro rata</v>
      </c>
      <c r="AD31" s="78"/>
      <c r="AE31" s="78"/>
      <c r="AF31" s="78"/>
      <c r="AG31" s="78"/>
      <c r="AH31" s="78"/>
      <c r="AI31" s="78"/>
      <c r="AJ31" s="78"/>
      <c r="AK31" s="78"/>
    </row>
    <row r="32" spans="1:41" x14ac:dyDescent="0.35">
      <c r="A32" t="str">
        <f>$A$26</f>
        <v>Long-Tail</v>
      </c>
      <c r="B32" s="50">
        <f t="shared" ref="B32:E33" si="11">+B$21*B61/B$63</f>
        <v>5270.5586365225454</v>
      </c>
      <c r="C32" s="50">
        <f t="shared" si="11"/>
        <v>5270.5586365225454</v>
      </c>
      <c r="D32" s="50">
        <f t="shared" si="11"/>
        <v>11262.223139956921</v>
      </c>
      <c r="E32" s="50">
        <f t="shared" si="11"/>
        <v>11262.223139956921</v>
      </c>
      <c r="F32" s="50"/>
      <c r="G32" s="51">
        <f>+G21*G71/G73</f>
        <v>4670.7631873403634</v>
      </c>
      <c r="H32" s="51">
        <f>+H21*H71/H73</f>
        <v>6760.1166768688463</v>
      </c>
      <c r="I32" s="51">
        <f>+I21*I71/I73</f>
        <v>9341.5263746807268</v>
      </c>
      <c r="J32" s="51">
        <f>+J21*J71/J73</f>
        <v>13520.233353737693</v>
      </c>
      <c r="K32" s="51"/>
      <c r="L32" s="5">
        <f>Long_Tail!D81</f>
        <v>6250.0000000000009</v>
      </c>
      <c r="M32" s="5">
        <f>+L32</f>
        <v>6250.0000000000009</v>
      </c>
      <c r="O32" s="78" t="str">
        <f>$A$26</f>
        <v>Long-Tail</v>
      </c>
      <c r="P32" s="94">
        <f t="shared" ref="P32:S33" si="12">+P$21*P61/P$63</f>
        <v>2674.915451328372</v>
      </c>
      <c r="Q32" s="94">
        <f t="shared" si="12"/>
        <v>2674.915451328372</v>
      </c>
      <c r="R32" s="94">
        <f t="shared" si="12"/>
        <v>5332.0152383518989</v>
      </c>
      <c r="S32" s="94">
        <f t="shared" si="12"/>
        <v>5332.0152383518989</v>
      </c>
      <c r="T32" s="94"/>
      <c r="U32" s="95">
        <f>+U21*U71/U73</f>
        <v>2123.820984203443</v>
      </c>
      <c r="V32" s="95">
        <f>+V21*V71/V73</f>
        <v>2947.6026927248231</v>
      </c>
      <c r="W32" s="95">
        <f>+W21*W71/W73</f>
        <v>4247.641968406886</v>
      </c>
      <c r="X32" s="51">
        <f>+X21*X71/X73</f>
        <v>5895.2053854496462</v>
      </c>
      <c r="Y32" s="51"/>
      <c r="Z32" s="5">
        <f>Long_Tail!S81</f>
        <v>3999.9999999999973</v>
      </c>
      <c r="AA32" s="5">
        <f>+Z32</f>
        <v>3999.9999999999973</v>
      </c>
      <c r="AC32" s="78" t="str">
        <f>$A$26</f>
        <v>Long-Tail</v>
      </c>
      <c r="AD32" s="94">
        <f t="shared" ref="AD32:AG33" si="13">+AD$21*AD61/AD$63</f>
        <v>2620.8426068640474</v>
      </c>
      <c r="AE32" s="94">
        <f t="shared" si="13"/>
        <v>2620.8426068640474</v>
      </c>
      <c r="AF32" s="94">
        <f t="shared" si="13"/>
        <v>6016.4322180685049</v>
      </c>
      <c r="AG32" s="94">
        <f t="shared" si="13"/>
        <v>6016.4322180685049</v>
      </c>
      <c r="AH32" s="94"/>
      <c r="AI32" s="95">
        <f>+AI21*AI71/AI73</f>
        <v>2557.4647174480842</v>
      </c>
      <c r="AJ32" s="95">
        <f>+AJ21*AJ71/AJ73</f>
        <v>3831.6267613614314</v>
      </c>
      <c r="AK32" s="95">
        <f>+AK21*AK71/AK73</f>
        <v>5114.9294348961685</v>
      </c>
      <c r="AL32" s="51">
        <f>+AL21*AL71/AL73</f>
        <v>7663.2535227228627</v>
      </c>
      <c r="AM32" s="51"/>
      <c r="AN32" s="5">
        <f>L32-Z32</f>
        <v>2250.0000000000036</v>
      </c>
      <c r="AO32" s="5">
        <f>+AN32</f>
        <v>2250.0000000000036</v>
      </c>
    </row>
    <row r="33" spans="1:41" x14ac:dyDescent="0.35">
      <c r="A33" t="str">
        <f>$A$27</f>
        <v>Short-Tail</v>
      </c>
      <c r="B33" s="50">
        <f t="shared" si="11"/>
        <v>1463.1553934774577</v>
      </c>
      <c r="C33" s="50">
        <f t="shared" si="11"/>
        <v>1463.1553934774577</v>
      </c>
      <c r="D33" s="50">
        <f t="shared" si="11"/>
        <v>3374.3265900430802</v>
      </c>
      <c r="E33" s="50">
        <f t="shared" si="11"/>
        <v>3374.3265900430802</v>
      </c>
      <c r="F33" s="50"/>
      <c r="G33" s="51">
        <f>+G21-G32</f>
        <v>545.01024162071644</v>
      </c>
      <c r="H33" s="51">
        <f>+H21-H32</f>
        <v>828.83271739956854</v>
      </c>
      <c r="I33" s="51">
        <f>+I21-I32</f>
        <v>1090.0204832414329</v>
      </c>
      <c r="J33" s="51">
        <f>+J21-J32</f>
        <v>1657.6654347991371</v>
      </c>
      <c r="K33" s="51"/>
      <c r="L33" s="5">
        <f>Short_Tail!D81</f>
        <v>500.00000000000045</v>
      </c>
      <c r="M33" s="5">
        <f>+L33</f>
        <v>500.00000000000045</v>
      </c>
      <c r="O33" s="78" t="str">
        <f>$A$27</f>
        <v>Short-Tail</v>
      </c>
      <c r="P33" s="94">
        <f t="shared" si="12"/>
        <v>1131.6357786716253</v>
      </c>
      <c r="Q33" s="94">
        <f t="shared" si="12"/>
        <v>1131.6357786716253</v>
      </c>
      <c r="R33" s="94">
        <f t="shared" si="12"/>
        <v>2571.301251648099</v>
      </c>
      <c r="S33" s="94">
        <f t="shared" si="12"/>
        <v>2571.301251648099</v>
      </c>
      <c r="T33" s="94"/>
      <c r="U33" s="95">
        <f>+U21-U32</f>
        <v>421.89448590997108</v>
      </c>
      <c r="V33" s="95">
        <f>+V21-V32</f>
        <v>637.87557002836456</v>
      </c>
      <c r="W33" s="95">
        <f>+W21-W32</f>
        <v>843.78897181994216</v>
      </c>
      <c r="X33" s="51">
        <f>+X21-X32</f>
        <v>1275.7511400567291</v>
      </c>
      <c r="Y33" s="51"/>
      <c r="Z33" s="5">
        <f>Short_Tail!S81</f>
        <v>400</v>
      </c>
      <c r="AA33" s="5">
        <f>+Z33</f>
        <v>400</v>
      </c>
      <c r="AC33" s="78" t="str">
        <f>$A$27</f>
        <v>Short-Tail</v>
      </c>
      <c r="AD33" s="94">
        <f t="shared" si="13"/>
        <v>306.32019313595833</v>
      </c>
      <c r="AE33" s="94">
        <f t="shared" si="13"/>
        <v>306.32019313595833</v>
      </c>
      <c r="AF33" s="94">
        <f t="shared" si="13"/>
        <v>716.8010219314981</v>
      </c>
      <c r="AG33" s="94">
        <f t="shared" si="13"/>
        <v>716.8010219314981</v>
      </c>
      <c r="AH33" s="94"/>
      <c r="AI33" s="95">
        <f>+AI21-AI32</f>
        <v>112.59324139958153</v>
      </c>
      <c r="AJ33" s="95">
        <f>+AJ21-AJ32</f>
        <v>171.84437015379581</v>
      </c>
      <c r="AK33" s="95">
        <f>+AK21-AK32</f>
        <v>225.18648279916306</v>
      </c>
      <c r="AL33" s="51">
        <f>+AL21-AL32</f>
        <v>343.68874030759162</v>
      </c>
      <c r="AM33" s="51"/>
      <c r="AN33" s="5">
        <f>L33-Z33</f>
        <v>100.00000000000045</v>
      </c>
      <c r="AO33" s="5">
        <f>+AN33</f>
        <v>100.00000000000045</v>
      </c>
    </row>
    <row r="34" spans="1:41" ht="7" customHeight="1" x14ac:dyDescent="0.35">
      <c r="B34" s="50"/>
      <c r="C34" s="50"/>
      <c r="D34" s="50"/>
      <c r="E34" s="50"/>
      <c r="F34" s="50"/>
      <c r="G34" s="51"/>
      <c r="H34" s="51"/>
      <c r="I34" s="51"/>
      <c r="J34" s="51"/>
      <c r="K34" s="51"/>
      <c r="L34" s="5"/>
      <c r="M34" s="5"/>
      <c r="O34" s="78"/>
      <c r="P34" s="94"/>
      <c r="Q34" s="94"/>
      <c r="R34" s="94"/>
      <c r="S34" s="94"/>
      <c r="T34" s="94"/>
      <c r="U34" s="95"/>
      <c r="V34" s="95"/>
      <c r="W34" s="95"/>
      <c r="X34" s="51"/>
      <c r="Y34" s="51"/>
      <c r="Z34" s="5"/>
      <c r="AA34" s="5"/>
      <c r="AC34" s="78"/>
      <c r="AD34" s="94"/>
      <c r="AE34" s="94"/>
      <c r="AF34" s="94"/>
      <c r="AG34" s="94"/>
      <c r="AH34" s="94"/>
      <c r="AI34" s="95"/>
      <c r="AJ34" s="95"/>
      <c r="AK34" s="95"/>
      <c r="AL34" s="51"/>
      <c r="AM34" s="51"/>
      <c r="AN34" s="5"/>
      <c r="AO34" s="5"/>
    </row>
    <row r="35" spans="1:41" ht="15" customHeight="1" x14ac:dyDescent="0.35">
      <c r="A35" s="11" t="s">
        <v>99</v>
      </c>
      <c r="B35" s="50"/>
      <c r="C35" s="50"/>
      <c r="D35" s="50"/>
      <c r="E35" s="50"/>
      <c r="F35" s="50"/>
      <c r="G35" s="51"/>
      <c r="H35" s="51"/>
      <c r="I35" s="51"/>
      <c r="J35" s="51"/>
      <c r="K35" s="51"/>
      <c r="L35" s="5"/>
      <c r="M35" s="5"/>
      <c r="O35" s="91" t="str">
        <f>A35</f>
        <v>Marginal</v>
      </c>
      <c r="P35" s="94"/>
      <c r="Q35" s="94"/>
      <c r="R35" s="94"/>
      <c r="S35" s="94"/>
      <c r="T35" s="94"/>
      <c r="U35" s="95"/>
      <c r="V35" s="95"/>
      <c r="W35" s="95"/>
      <c r="X35" s="51"/>
      <c r="Y35" s="51"/>
      <c r="Z35" s="5"/>
      <c r="AA35" s="5"/>
      <c r="AC35" s="91" t="str">
        <f>O35</f>
        <v>Marginal</v>
      </c>
      <c r="AD35" s="94"/>
      <c r="AE35" s="94"/>
      <c r="AF35" s="94"/>
      <c r="AG35" s="94"/>
      <c r="AH35" s="94"/>
      <c r="AI35" s="95"/>
      <c r="AJ35" s="95"/>
      <c r="AK35" s="95"/>
      <c r="AL35" s="51"/>
      <c r="AM35" s="51"/>
      <c r="AN35" s="5"/>
      <c r="AO35" s="5"/>
    </row>
    <row r="36" spans="1:41" x14ac:dyDescent="0.35">
      <c r="A36" t="str">
        <f>$A$26</f>
        <v>Long-Tail</v>
      </c>
      <c r="B36" s="5">
        <f t="shared" ref="B36:E37" si="14">+B$21/B$68*B66</f>
        <v>5917.2190816329912</v>
      </c>
      <c r="C36" s="5">
        <f t="shared" si="14"/>
        <v>5917.2190816329912</v>
      </c>
      <c r="D36" s="5">
        <f t="shared" si="14"/>
        <v>12895.629718010638</v>
      </c>
      <c r="E36" s="5">
        <f t="shared" si="14"/>
        <v>12895.629718010638</v>
      </c>
      <c r="F36" s="5"/>
      <c r="G36" s="5">
        <f>+G66/G68*G21</f>
        <v>5042.3158084613506</v>
      </c>
      <c r="H36" s="5">
        <f>+H66/H68*H21</f>
        <v>7350.5376272902768</v>
      </c>
      <c r="I36" s="5">
        <f>+I66/I68*I21</f>
        <v>10084.631616922701</v>
      </c>
      <c r="J36" s="5">
        <f>+J66/J68*J21</f>
        <v>14701.075254580554</v>
      </c>
      <c r="K36" s="5"/>
      <c r="L36" s="5">
        <f>+L32</f>
        <v>6250.0000000000009</v>
      </c>
      <c r="M36" s="5">
        <f>+M32</f>
        <v>6250.0000000000009</v>
      </c>
      <c r="O36" s="78" t="str">
        <f>$A$26</f>
        <v>Long-Tail</v>
      </c>
      <c r="P36" s="92">
        <f t="shared" ref="P36:S37" si="15">+P$21/P$68*P66</f>
        <v>3024.1588257075405</v>
      </c>
      <c r="Q36" s="92">
        <f t="shared" si="15"/>
        <v>3024.1588257075405</v>
      </c>
      <c r="R36" s="92">
        <f t="shared" si="15"/>
        <v>6156.3923553479153</v>
      </c>
      <c r="S36" s="92">
        <f t="shared" si="15"/>
        <v>6156.3923553479153</v>
      </c>
      <c r="T36" s="92"/>
      <c r="U36" s="92">
        <f>+U66/U68*U21</f>
        <v>2353.3419925222347</v>
      </c>
      <c r="V36" s="92">
        <f>+V66/V68*V21</f>
        <v>3303.7604265672608</v>
      </c>
      <c r="W36" s="92">
        <f>+W66/W68*W21</f>
        <v>4706.6839850444694</v>
      </c>
      <c r="X36" s="5">
        <f>+X66/X68*X21</f>
        <v>6607.5208531345215</v>
      </c>
      <c r="Y36" s="5"/>
      <c r="Z36" s="5">
        <f>+Z32</f>
        <v>3999.9999999999973</v>
      </c>
      <c r="AA36" s="5">
        <f>+AA32</f>
        <v>3999.9999999999973</v>
      </c>
      <c r="AC36" s="78" t="str">
        <f>$A$26</f>
        <v>Long-Tail</v>
      </c>
      <c r="AD36" s="92">
        <f t="shared" ref="AD36:AG37" si="16">+AD$21/AD$68*AD66</f>
        <v>2861.0013795464456</v>
      </c>
      <c r="AE36" s="92">
        <f t="shared" si="16"/>
        <v>2861.0013795464456</v>
      </c>
      <c r="AF36" s="92">
        <f t="shared" si="16"/>
        <v>6625.0553774603877</v>
      </c>
      <c r="AG36" s="92">
        <f t="shared" si="16"/>
        <v>6625.0553774603877</v>
      </c>
      <c r="AH36" s="92"/>
      <c r="AI36" s="92">
        <f>+AI66/AI68*AI21</f>
        <v>2557.4647174480842</v>
      </c>
      <c r="AJ36" s="92">
        <f>+AJ66/AJ68*AJ21</f>
        <v>3831.6267613614318</v>
      </c>
      <c r="AK36" s="92">
        <f>+AK66/AK68*AK21</f>
        <v>5114.9294348961685</v>
      </c>
      <c r="AL36" s="5">
        <f>+AL66/AL68*AL21</f>
        <v>7663.2535227228636</v>
      </c>
      <c r="AM36" s="5"/>
      <c r="AN36" s="5">
        <f>+AN32</f>
        <v>2250.0000000000036</v>
      </c>
      <c r="AO36" s="5">
        <f>+AO32</f>
        <v>2250.0000000000036</v>
      </c>
    </row>
    <row r="37" spans="1:41" x14ac:dyDescent="0.35">
      <c r="A37" t="str">
        <f>$A$27</f>
        <v>Short-Tail</v>
      </c>
      <c r="B37" s="5">
        <f t="shared" si="14"/>
        <v>816.4949483670116</v>
      </c>
      <c r="C37" s="5">
        <f t="shared" si="14"/>
        <v>816.4949483670116</v>
      </c>
      <c r="D37" s="5">
        <f t="shared" si="14"/>
        <v>1740.9200119893619</v>
      </c>
      <c r="E37" s="5">
        <f t="shared" si="14"/>
        <v>1740.9200119893619</v>
      </c>
      <c r="F37" s="5"/>
      <c r="G37" s="5">
        <f>+G21-G36</f>
        <v>173.45762049972927</v>
      </c>
      <c r="H37" s="5">
        <f>+H21-H36</f>
        <v>238.41176697813808</v>
      </c>
      <c r="I37" s="5">
        <f>+I21-I36</f>
        <v>346.91524099945855</v>
      </c>
      <c r="J37" s="5">
        <f>+J21-J36</f>
        <v>476.82353395627615</v>
      </c>
      <c r="K37" s="5"/>
      <c r="L37" s="5">
        <f>+L33</f>
        <v>500.00000000000045</v>
      </c>
      <c r="M37" s="5">
        <f>+M33</f>
        <v>500.00000000000045</v>
      </c>
      <c r="O37" s="78" t="str">
        <f>$A$27</f>
        <v>Short-Tail</v>
      </c>
      <c r="P37" s="92">
        <f t="shared" si="15"/>
        <v>782.39240429245683</v>
      </c>
      <c r="Q37" s="92">
        <f t="shared" si="15"/>
        <v>782.39240429245683</v>
      </c>
      <c r="R37" s="92">
        <f t="shared" si="15"/>
        <v>1746.9241346520819</v>
      </c>
      <c r="S37" s="92">
        <f t="shared" si="15"/>
        <v>1746.9241346520819</v>
      </c>
      <c r="T37" s="92"/>
      <c r="U37" s="92">
        <f>+U21-U36</f>
        <v>192.37347759117938</v>
      </c>
      <c r="V37" s="92">
        <f>+V21-V36</f>
        <v>281.7178361859269</v>
      </c>
      <c r="W37" s="92">
        <f>+W21-W36</f>
        <v>384.74695518235876</v>
      </c>
      <c r="X37" s="5">
        <f>+X21-X36</f>
        <v>563.4356723718538</v>
      </c>
      <c r="Y37" s="5"/>
      <c r="Z37" s="5">
        <f>+Z33</f>
        <v>400</v>
      </c>
      <c r="AA37" s="5">
        <f>+AA33</f>
        <v>400</v>
      </c>
      <c r="AC37" s="78" t="str">
        <f>$A$27</f>
        <v>Short-Tail</v>
      </c>
      <c r="AD37" s="92">
        <f t="shared" si="16"/>
        <v>66.161420453559842</v>
      </c>
      <c r="AE37" s="92">
        <f t="shared" si="16"/>
        <v>66.161420453559842</v>
      </c>
      <c r="AF37" s="92">
        <f t="shared" si="16"/>
        <v>108.17786253961263</v>
      </c>
      <c r="AG37" s="92">
        <f t="shared" si="16"/>
        <v>108.17786253961263</v>
      </c>
      <c r="AH37" s="92"/>
      <c r="AI37" s="92">
        <f>+AI21-AI36</f>
        <v>112.59324139958153</v>
      </c>
      <c r="AJ37" s="92">
        <f>+AJ21-AJ36</f>
        <v>171.84437015379535</v>
      </c>
      <c r="AK37" s="92">
        <f>+AK21-AK36</f>
        <v>225.18648279916306</v>
      </c>
      <c r="AL37" s="5">
        <f>+AL21-AL36</f>
        <v>343.68874030759071</v>
      </c>
      <c r="AM37" s="5"/>
      <c r="AN37" s="5">
        <f>+AN33</f>
        <v>100.00000000000045</v>
      </c>
      <c r="AO37" s="5">
        <f>+AO33</f>
        <v>100.00000000000045</v>
      </c>
    </row>
    <row r="38" spans="1:41" ht="7" customHeight="1" x14ac:dyDescent="0.35"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O38" s="78"/>
      <c r="P38" s="92"/>
      <c r="Q38" s="92"/>
      <c r="R38" s="92"/>
      <c r="S38" s="92"/>
      <c r="T38" s="92"/>
      <c r="U38" s="92"/>
      <c r="V38" s="92"/>
      <c r="W38" s="92"/>
      <c r="X38" s="5"/>
      <c r="Y38" s="5"/>
      <c r="Z38" s="5"/>
      <c r="AA38" s="5"/>
      <c r="AC38" s="78"/>
      <c r="AD38" s="92"/>
      <c r="AE38" s="92"/>
      <c r="AF38" s="92"/>
      <c r="AG38" s="92"/>
      <c r="AH38" s="92"/>
      <c r="AI38" s="92"/>
      <c r="AJ38" s="92"/>
      <c r="AK38" s="92"/>
      <c r="AL38" s="5"/>
      <c r="AM38" s="5"/>
      <c r="AN38" s="5"/>
      <c r="AO38" s="5"/>
    </row>
    <row r="39" spans="1:41" ht="15" customHeight="1" x14ac:dyDescent="0.35">
      <c r="A39" s="11" t="s">
        <v>100</v>
      </c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O39" s="91" t="str">
        <f>A39</f>
        <v>Average of Pro rata and Marginal</v>
      </c>
      <c r="P39" s="92"/>
      <c r="Q39" s="92"/>
      <c r="R39" s="92"/>
      <c r="S39" s="92"/>
      <c r="T39" s="92"/>
      <c r="U39" s="92"/>
      <c r="V39" s="92"/>
      <c r="W39" s="92"/>
      <c r="X39" s="5"/>
      <c r="Y39" s="5"/>
      <c r="Z39" s="5"/>
      <c r="AA39" s="5"/>
      <c r="AC39" s="91" t="str">
        <f>O39</f>
        <v>Average of Pro rata and Marginal</v>
      </c>
      <c r="AD39" s="92"/>
      <c r="AE39" s="92"/>
      <c r="AF39" s="92"/>
      <c r="AG39" s="92"/>
      <c r="AH39" s="92"/>
      <c r="AI39" s="92"/>
      <c r="AJ39" s="92"/>
      <c r="AK39" s="92"/>
      <c r="AL39" s="5"/>
      <c r="AM39" s="5"/>
      <c r="AN39" s="5"/>
      <c r="AO39" s="5"/>
    </row>
    <row r="40" spans="1:41" x14ac:dyDescent="0.35">
      <c r="A40" t="str">
        <f>$A$26</f>
        <v>Long-Tail</v>
      </c>
      <c r="B40" s="50">
        <f t="shared" ref="B40:E41" si="17">AVERAGE(B32,B36)</f>
        <v>5593.8888590777678</v>
      </c>
      <c r="C40" s="50">
        <f t="shared" si="17"/>
        <v>5593.8888590777678</v>
      </c>
      <c r="D40" s="50">
        <f t="shared" si="17"/>
        <v>12078.926428983779</v>
      </c>
      <c r="E40" s="50">
        <f t="shared" si="17"/>
        <v>12078.926428983779</v>
      </c>
      <c r="F40" s="50"/>
      <c r="G40" s="50">
        <f t="shared" ref="G40:J41" si="18">AVERAGE(G32,G36)</f>
        <v>4856.539497900857</v>
      </c>
      <c r="H40" s="50">
        <f t="shared" si="18"/>
        <v>7055.3271520795615</v>
      </c>
      <c r="I40" s="50">
        <f t="shared" si="18"/>
        <v>9713.078995801714</v>
      </c>
      <c r="J40" s="50">
        <f t="shared" si="18"/>
        <v>14110.654304159123</v>
      </c>
      <c r="K40" s="50"/>
      <c r="L40" s="5">
        <f>+L36</f>
        <v>6250.0000000000009</v>
      </c>
      <c r="M40" s="5">
        <f>+M36</f>
        <v>6250.0000000000009</v>
      </c>
      <c r="O40" s="78" t="str">
        <f>$A$26</f>
        <v>Long-Tail</v>
      </c>
      <c r="P40" s="94">
        <f>AVERAGE(P32,P36)</f>
        <v>2849.537138517956</v>
      </c>
      <c r="Q40" s="94">
        <f t="shared" ref="Q40:X40" si="19">AVERAGE(Q32,Q36)</f>
        <v>2849.537138517956</v>
      </c>
      <c r="R40" s="94">
        <f t="shared" si="19"/>
        <v>5744.2037968499071</v>
      </c>
      <c r="S40" s="94">
        <f t="shared" si="19"/>
        <v>5744.2037968499071</v>
      </c>
      <c r="T40" s="94"/>
      <c r="U40" s="94">
        <f t="shared" si="19"/>
        <v>2238.5814883628391</v>
      </c>
      <c r="V40" s="94">
        <f t="shared" si="19"/>
        <v>3125.6815596460419</v>
      </c>
      <c r="W40" s="94">
        <f t="shared" si="19"/>
        <v>4477.1629767256782</v>
      </c>
      <c r="X40" s="50">
        <f t="shared" si="19"/>
        <v>6251.3631192920839</v>
      </c>
      <c r="Y40" s="50"/>
      <c r="Z40" s="5">
        <f>+Z36</f>
        <v>3999.9999999999973</v>
      </c>
      <c r="AA40" s="5">
        <f>+AA36</f>
        <v>3999.9999999999973</v>
      </c>
      <c r="AC40" s="78" t="str">
        <f>$A$26</f>
        <v>Long-Tail</v>
      </c>
      <c r="AD40" s="94">
        <f>AVERAGE(AD32,AD36)</f>
        <v>2740.9219932052465</v>
      </c>
      <c r="AE40" s="94">
        <f t="shared" ref="AE40:AL40" si="20">AVERAGE(AE32,AE36)</f>
        <v>2740.9219932052465</v>
      </c>
      <c r="AF40" s="94">
        <f t="shared" si="20"/>
        <v>6320.7437977644458</v>
      </c>
      <c r="AG40" s="94">
        <f t="shared" si="20"/>
        <v>6320.7437977644458</v>
      </c>
      <c r="AH40" s="94"/>
      <c r="AI40" s="94">
        <f t="shared" si="20"/>
        <v>2557.4647174480842</v>
      </c>
      <c r="AJ40" s="94">
        <f t="shared" si="20"/>
        <v>3831.6267613614318</v>
      </c>
      <c r="AK40" s="94">
        <f t="shared" si="20"/>
        <v>5114.9294348961685</v>
      </c>
      <c r="AL40" s="50">
        <f t="shared" si="20"/>
        <v>7663.2535227228636</v>
      </c>
      <c r="AM40" s="50"/>
      <c r="AN40" s="5">
        <f>+AN36</f>
        <v>2250.0000000000036</v>
      </c>
      <c r="AO40" s="5">
        <f>+AO36</f>
        <v>2250.0000000000036</v>
      </c>
    </row>
    <row r="41" spans="1:41" x14ac:dyDescent="0.35">
      <c r="A41" t="str">
        <f>$A$27</f>
        <v>Short-Tail</v>
      </c>
      <c r="B41" s="50">
        <f t="shared" si="17"/>
        <v>1139.8251709222345</v>
      </c>
      <c r="C41" s="50">
        <f t="shared" si="17"/>
        <v>1139.8251709222345</v>
      </c>
      <c r="D41" s="50">
        <f t="shared" si="17"/>
        <v>2557.6233010162209</v>
      </c>
      <c r="E41" s="50">
        <f t="shared" si="17"/>
        <v>2557.6233010162209</v>
      </c>
      <c r="F41" s="50"/>
      <c r="G41" s="50">
        <f t="shared" si="18"/>
        <v>359.23393106022286</v>
      </c>
      <c r="H41" s="50">
        <f t="shared" si="18"/>
        <v>533.62224218885331</v>
      </c>
      <c r="I41" s="50">
        <f t="shared" si="18"/>
        <v>718.46786212044572</v>
      </c>
      <c r="J41" s="50">
        <f t="shared" si="18"/>
        <v>1067.2444843777066</v>
      </c>
      <c r="K41" s="50"/>
      <c r="L41" s="5">
        <f>+L37</f>
        <v>500.00000000000045</v>
      </c>
      <c r="M41" s="5">
        <f>+M37</f>
        <v>500.00000000000045</v>
      </c>
      <c r="O41" s="78" t="str">
        <f>$A$27</f>
        <v>Short-Tail</v>
      </c>
      <c r="P41" s="94">
        <f>AVERAGE(P33,P37)</f>
        <v>957.01409148204107</v>
      </c>
      <c r="Q41" s="94">
        <f t="shared" ref="Q41:X41" si="21">AVERAGE(Q33,Q37)</f>
        <v>957.01409148204107</v>
      </c>
      <c r="R41" s="94">
        <f t="shared" si="21"/>
        <v>2159.1126931500903</v>
      </c>
      <c r="S41" s="94">
        <f t="shared" si="21"/>
        <v>2159.1126931500903</v>
      </c>
      <c r="T41" s="94"/>
      <c r="U41" s="94">
        <f t="shared" si="21"/>
        <v>307.13398175057523</v>
      </c>
      <c r="V41" s="94">
        <f t="shared" si="21"/>
        <v>459.79670310714573</v>
      </c>
      <c r="W41" s="94">
        <f t="shared" si="21"/>
        <v>614.26796350115046</v>
      </c>
      <c r="X41" s="50">
        <f t="shared" si="21"/>
        <v>919.59340621429146</v>
      </c>
      <c r="Y41" s="50"/>
      <c r="Z41" s="5">
        <f>+Z37</f>
        <v>400</v>
      </c>
      <c r="AA41" s="5">
        <f>+AA37</f>
        <v>400</v>
      </c>
      <c r="AC41" s="78" t="str">
        <f>$A$27</f>
        <v>Short-Tail</v>
      </c>
      <c r="AD41" s="94">
        <f>AVERAGE(AD33,AD37)</f>
        <v>186.2408067947591</v>
      </c>
      <c r="AE41" s="94">
        <f t="shared" ref="AE41:AL41" si="22">AVERAGE(AE33,AE37)</f>
        <v>186.2408067947591</v>
      </c>
      <c r="AF41" s="94">
        <f t="shared" si="22"/>
        <v>412.48944223555537</v>
      </c>
      <c r="AG41" s="94">
        <f t="shared" si="22"/>
        <v>412.48944223555537</v>
      </c>
      <c r="AH41" s="94"/>
      <c r="AI41" s="94">
        <f t="shared" si="22"/>
        <v>112.59324139958153</v>
      </c>
      <c r="AJ41" s="94">
        <f t="shared" si="22"/>
        <v>171.84437015379558</v>
      </c>
      <c r="AK41" s="94">
        <f t="shared" si="22"/>
        <v>225.18648279916306</v>
      </c>
      <c r="AL41" s="50">
        <f t="shared" si="22"/>
        <v>343.68874030759116</v>
      </c>
      <c r="AM41" s="50"/>
      <c r="AN41" s="5">
        <f>+AN37</f>
        <v>100.00000000000045</v>
      </c>
      <c r="AO41" s="5">
        <f>+AO37</f>
        <v>100.00000000000045</v>
      </c>
    </row>
    <row r="42" spans="1:41" x14ac:dyDescent="0.35">
      <c r="O42" s="78"/>
      <c r="P42" s="78"/>
      <c r="Q42" s="78"/>
      <c r="R42" s="78"/>
      <c r="S42" s="78"/>
      <c r="T42" s="78"/>
      <c r="U42" s="78"/>
      <c r="V42" s="78"/>
      <c r="W42" s="78"/>
      <c r="AC42" s="78"/>
      <c r="AD42" s="78"/>
      <c r="AE42" s="78"/>
      <c r="AF42" s="78"/>
      <c r="AG42" s="78"/>
      <c r="AH42" s="78"/>
      <c r="AI42" s="78"/>
      <c r="AJ42" s="78"/>
      <c r="AK42" s="78"/>
    </row>
    <row r="43" spans="1:41" x14ac:dyDescent="0.35">
      <c r="A43" s="86" t="s">
        <v>101</v>
      </c>
      <c r="O43" s="93" t="str">
        <f>A43</f>
        <v>Implied Factor to Apply to Mean Present Value of Cash Flows</v>
      </c>
      <c r="P43" s="78"/>
      <c r="Q43" s="78"/>
      <c r="R43" s="78"/>
      <c r="S43" s="78"/>
      <c r="T43" s="78"/>
      <c r="U43" s="78"/>
      <c r="V43" s="78"/>
      <c r="W43" s="78"/>
      <c r="AC43" s="93" t="str">
        <f>O43</f>
        <v>Implied Factor to Apply to Mean Present Value of Cash Flows</v>
      </c>
      <c r="AD43" s="78"/>
      <c r="AE43" s="78"/>
      <c r="AF43" s="78"/>
      <c r="AG43" s="78"/>
      <c r="AH43" s="78"/>
      <c r="AI43" s="78"/>
      <c r="AJ43" s="78"/>
      <c r="AK43" s="78"/>
    </row>
    <row r="44" spans="1:41" ht="7" customHeight="1" x14ac:dyDescent="0.35">
      <c r="A44" s="86"/>
      <c r="O44" s="93"/>
      <c r="P44" s="78"/>
      <c r="Q44" s="78"/>
      <c r="R44" s="78"/>
      <c r="S44" s="78"/>
      <c r="T44" s="78"/>
      <c r="U44" s="78"/>
      <c r="V44" s="78"/>
      <c r="W44" s="78"/>
      <c r="AC44" s="93"/>
      <c r="AD44" s="78"/>
      <c r="AE44" s="78"/>
      <c r="AF44" s="78"/>
      <c r="AG44" s="78"/>
      <c r="AH44" s="78"/>
      <c r="AI44" s="78"/>
      <c r="AJ44" s="78"/>
      <c r="AK44" s="78"/>
    </row>
    <row r="45" spans="1:41" ht="15" customHeight="1" x14ac:dyDescent="0.35">
      <c r="A45" s="11" t="s">
        <v>98</v>
      </c>
      <c r="O45" s="91" t="str">
        <f>A45</f>
        <v>Pro rata</v>
      </c>
      <c r="P45" s="78"/>
      <c r="Q45" s="78"/>
      <c r="R45" s="78"/>
      <c r="S45" s="78"/>
      <c r="T45" s="78"/>
      <c r="U45" s="78"/>
      <c r="V45" s="78"/>
      <c r="W45" s="78"/>
      <c r="AC45" s="91" t="str">
        <f>O45</f>
        <v>Pro rata</v>
      </c>
      <c r="AD45" s="78"/>
      <c r="AE45" s="78"/>
      <c r="AF45" s="78"/>
      <c r="AG45" s="78"/>
      <c r="AH45" s="78"/>
      <c r="AI45" s="78"/>
      <c r="AJ45" s="78"/>
      <c r="AK45" s="78"/>
    </row>
    <row r="46" spans="1:41" x14ac:dyDescent="0.35">
      <c r="A46" t="str">
        <f>$A$26</f>
        <v>Long-Tail</v>
      </c>
      <c r="B46" s="6">
        <f t="shared" ref="B46:M46" si="23">+B32/Implied_Mean_Gross</f>
        <v>0.10541117273045089</v>
      </c>
      <c r="C46" s="6">
        <f t="shared" si="23"/>
        <v>0.10541117273045089</v>
      </c>
      <c r="D46" s="6">
        <f t="shared" si="23"/>
        <v>0.22524446279913837</v>
      </c>
      <c r="E46" s="6">
        <f t="shared" si="23"/>
        <v>0.22524446279913837</v>
      </c>
      <c r="F46" s="6"/>
      <c r="G46" s="6">
        <f t="shared" si="23"/>
        <v>9.3415263746807253E-2</v>
      </c>
      <c r="H46" s="6">
        <f t="shared" si="23"/>
        <v>0.1352023335373769</v>
      </c>
      <c r="I46" s="6">
        <f t="shared" si="23"/>
        <v>0.18683052749361451</v>
      </c>
      <c r="J46" s="6">
        <f t="shared" si="23"/>
        <v>0.2704046670747538</v>
      </c>
      <c r="K46" s="6"/>
      <c r="L46" s="6">
        <f t="shared" si="23"/>
        <v>0.125</v>
      </c>
      <c r="M46" s="6">
        <f t="shared" si="23"/>
        <v>0.125</v>
      </c>
      <c r="O46" s="78" t="str">
        <f>$A$26</f>
        <v>Long-Tail</v>
      </c>
      <c r="P46" s="96">
        <f t="shared" ref="P46:AA46" si="24">+P32/Implied_Mean_Net</f>
        <v>6.6872886283209351E-2</v>
      </c>
      <c r="Q46" s="96">
        <f t="shared" si="24"/>
        <v>6.6872886283209351E-2</v>
      </c>
      <c r="R46" s="96">
        <f t="shared" si="24"/>
        <v>0.13330038095879757</v>
      </c>
      <c r="S46" s="96">
        <f t="shared" si="24"/>
        <v>0.13330038095879757</v>
      </c>
      <c r="T46" s="96"/>
      <c r="U46" s="96">
        <f t="shared" si="24"/>
        <v>5.3095524605086111E-2</v>
      </c>
      <c r="V46" s="96">
        <f t="shared" si="24"/>
        <v>7.3690067318120625E-2</v>
      </c>
      <c r="W46" s="96">
        <f t="shared" si="24"/>
        <v>0.10619104921017222</v>
      </c>
      <c r="X46" s="6">
        <f t="shared" si="24"/>
        <v>0.14738013463624125</v>
      </c>
      <c r="Y46" s="6"/>
      <c r="Z46" s="6">
        <f t="shared" si="24"/>
        <v>0.1</v>
      </c>
      <c r="AA46" s="6">
        <f t="shared" si="24"/>
        <v>0.1</v>
      </c>
      <c r="AC46" s="78" t="str">
        <f>$A$26</f>
        <v>Long-Tail</v>
      </c>
      <c r="AD46" s="96">
        <f t="shared" ref="AD46:AO46" si="25">+AD32/(Implied_Mean_Gross-Implied_Mean_Net)</f>
        <v>0.26208426068640378</v>
      </c>
      <c r="AE46" s="96">
        <f t="shared" si="25"/>
        <v>0.26208426068640378</v>
      </c>
      <c r="AF46" s="96">
        <f t="shared" si="25"/>
        <v>0.60164322180684826</v>
      </c>
      <c r="AG46" s="96">
        <f t="shared" si="25"/>
        <v>0.60164322180684826</v>
      </c>
      <c r="AH46" s="96"/>
      <c r="AI46" s="96">
        <f t="shared" si="25"/>
        <v>0.25574647174480747</v>
      </c>
      <c r="AJ46" s="96">
        <f t="shared" si="25"/>
        <v>0.38316267613614174</v>
      </c>
      <c r="AK46" s="96">
        <f t="shared" si="25"/>
        <v>0.51149294348961494</v>
      </c>
      <c r="AL46" s="6">
        <f t="shared" si="25"/>
        <v>0.76632535227228349</v>
      </c>
      <c r="AM46" s="6"/>
      <c r="AN46" s="6">
        <f t="shared" si="25"/>
        <v>0.22499999999999953</v>
      </c>
      <c r="AO46" s="6">
        <f t="shared" si="25"/>
        <v>0.22499999999999953</v>
      </c>
    </row>
    <row r="47" spans="1:41" x14ac:dyDescent="0.35">
      <c r="A47" t="str">
        <f>$A$27</f>
        <v>Short-Tail</v>
      </c>
      <c r="B47" s="6">
        <f>+B33/Short_Tail!Implied_Mean_Gross</f>
        <v>0.14631553934774563</v>
      </c>
      <c r="C47" s="6">
        <f>+C33/Short_Tail!Implied_Mean_Gross</f>
        <v>0.14631553934774563</v>
      </c>
      <c r="D47" s="6">
        <f>+D33/Short_Tail!Implied_Mean_Gross</f>
        <v>0.33743265900430769</v>
      </c>
      <c r="E47" s="6">
        <f>+E33/Short_Tail!Implied_Mean_Gross</f>
        <v>0.33743265900430769</v>
      </c>
      <c r="F47" s="6"/>
      <c r="G47" s="6">
        <f>+G33/Short_Tail!Implied_Mean_Gross</f>
        <v>5.4501024162071594E-2</v>
      </c>
      <c r="H47" s="6">
        <f>+H33/Short_Tail!Implied_Mean_Gross</f>
        <v>8.2883271739956785E-2</v>
      </c>
      <c r="I47" s="6">
        <f>+I33/Short_Tail!Implied_Mean_Gross</f>
        <v>0.10900204832414319</v>
      </c>
      <c r="J47" s="6">
        <f>+J33/Short_Tail!Implied_Mean_Gross</f>
        <v>0.16576654347991357</v>
      </c>
      <c r="K47" s="6"/>
      <c r="L47" s="6">
        <f>+L33/Short_Tail!Implied_Mean_Gross</f>
        <v>0.05</v>
      </c>
      <c r="M47" s="6">
        <f>+M33/Short_Tail!Implied_Mean_Gross</f>
        <v>0.05</v>
      </c>
      <c r="O47" s="78" t="str">
        <f>$A$27</f>
        <v>Short-Tail</v>
      </c>
      <c r="P47" s="96">
        <f>+P33/Short_Tail!Implied_Mean_Net</f>
        <v>0.14145447233395317</v>
      </c>
      <c r="Q47" s="96">
        <f>+Q33/Short_Tail!Implied_Mean_Net</f>
        <v>0.14145447233395317</v>
      </c>
      <c r="R47" s="96">
        <f>+R33/Short_Tail!Implied_Mean_Net</f>
        <v>0.32141265645601236</v>
      </c>
      <c r="S47" s="96">
        <f>+S33/Short_Tail!Implied_Mean_Net</f>
        <v>0.32141265645601236</v>
      </c>
      <c r="T47" s="96"/>
      <c r="U47" s="96">
        <f>+U33/Short_Tail!Implied_Mean_Net</f>
        <v>5.2736810738746386E-2</v>
      </c>
      <c r="V47" s="96">
        <f>+V33/Short_Tail!Implied_Mean_Net</f>
        <v>7.9734446253545574E-2</v>
      </c>
      <c r="W47" s="96">
        <f>+W33/Short_Tail!Implied_Mean_Net</f>
        <v>0.10547362147749277</v>
      </c>
      <c r="X47" s="6">
        <f>+X33/Short_Tail!Implied_Mean_Net</f>
        <v>0.15946889250709115</v>
      </c>
      <c r="Y47" s="6"/>
      <c r="Z47" s="6">
        <f>+Z33/Short_Tail!Implied_Mean_Net</f>
        <v>0.05</v>
      </c>
      <c r="AA47" s="6">
        <f>+AA33/Short_Tail!Implied_Mean_Net</f>
        <v>0.05</v>
      </c>
      <c r="AC47" s="78" t="str">
        <f>$A$27</f>
        <v>Short-Tail</v>
      </c>
      <c r="AD47" s="96">
        <f>+AD33/(Short_Tail!Implied_Mean_Gross-Short_Tail!Implied_Mean_Net)</f>
        <v>0.15316009656797847</v>
      </c>
      <c r="AE47" s="96">
        <f>+AE33/(Short_Tail!Implied_Mean_Gross-Short_Tail!Implied_Mean_Net)</f>
        <v>0.15316009656797847</v>
      </c>
      <c r="AF47" s="96">
        <f>+AF33/(Short_Tail!Implied_Mean_Gross-Short_Tail!Implied_Mean_Net)</f>
        <v>0.35840051096574743</v>
      </c>
      <c r="AG47" s="96">
        <f>+AG33/(Short_Tail!Implied_Mean_Gross-Short_Tail!Implied_Mean_Net)</f>
        <v>0.35840051096574743</v>
      </c>
      <c r="AH47" s="96"/>
      <c r="AI47" s="96">
        <f>+AI33/(Short_Tail!Implied_Mean_Gross-Short_Tail!Implied_Mean_Net)</f>
        <v>5.6296620699790509E-2</v>
      </c>
      <c r="AJ47" s="96">
        <f>+AJ33/(Short_Tail!Implied_Mean_Gross-Short_Tail!Implied_Mean_Net)</f>
        <v>8.5922185076897514E-2</v>
      </c>
      <c r="AK47" s="96">
        <f>+AK33/(Short_Tail!Implied_Mean_Gross-Short_Tail!Implied_Mean_Net)</f>
        <v>0.11259324139958102</v>
      </c>
      <c r="AL47" s="6">
        <f>+AL33/(Short_Tail!Implied_Mean_Gross-Short_Tail!Implied_Mean_Net)</f>
        <v>0.17184437015379503</v>
      </c>
      <c r="AM47" s="6"/>
      <c r="AN47" s="6">
        <f>+AN33/(Short_Tail!Implied_Mean_Gross-Short_Tail!Implied_Mean_Net)</f>
        <v>0.05</v>
      </c>
      <c r="AO47" s="6">
        <f>+AO33/(Short_Tail!Implied_Mean_Gross-Short_Tail!Implied_Mean_Net)</f>
        <v>0.05</v>
      </c>
    </row>
    <row r="48" spans="1:41" ht="7" customHeight="1" x14ac:dyDescent="0.35"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O48" s="78"/>
      <c r="P48" s="96"/>
      <c r="Q48" s="96"/>
      <c r="R48" s="96"/>
      <c r="S48" s="96"/>
      <c r="T48" s="96"/>
      <c r="U48" s="96"/>
      <c r="V48" s="96"/>
      <c r="W48" s="96"/>
      <c r="X48" s="6"/>
      <c r="Y48" s="6"/>
      <c r="Z48" s="6"/>
      <c r="AA48" s="6"/>
      <c r="AC48" s="78"/>
      <c r="AD48" s="96"/>
      <c r="AE48" s="96"/>
      <c r="AF48" s="96"/>
      <c r="AG48" s="96"/>
      <c r="AH48" s="96"/>
      <c r="AI48" s="96"/>
      <c r="AJ48" s="96"/>
      <c r="AK48" s="96"/>
      <c r="AL48" s="6"/>
      <c r="AM48" s="6"/>
      <c r="AN48" s="6"/>
      <c r="AO48" s="6"/>
    </row>
    <row r="49" spans="1:41" ht="15" customHeight="1" x14ac:dyDescent="0.35">
      <c r="A49" s="11" t="s">
        <v>99</v>
      </c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O49" s="91" t="str">
        <f>A49</f>
        <v>Marginal</v>
      </c>
      <c r="P49" s="96"/>
      <c r="Q49" s="96"/>
      <c r="R49" s="96"/>
      <c r="S49" s="96"/>
      <c r="T49" s="96"/>
      <c r="U49" s="96"/>
      <c r="V49" s="96"/>
      <c r="W49" s="96"/>
      <c r="X49" s="6"/>
      <c r="Y49" s="6"/>
      <c r="Z49" s="6"/>
      <c r="AA49" s="6"/>
      <c r="AC49" s="91" t="str">
        <f>O49</f>
        <v>Marginal</v>
      </c>
      <c r="AD49" s="96"/>
      <c r="AE49" s="96"/>
      <c r="AF49" s="96"/>
      <c r="AG49" s="96"/>
      <c r="AH49" s="96"/>
      <c r="AI49" s="96"/>
      <c r="AJ49" s="96"/>
      <c r="AK49" s="96"/>
      <c r="AL49" s="6"/>
      <c r="AM49" s="6"/>
      <c r="AN49" s="6"/>
      <c r="AO49" s="6"/>
    </row>
    <row r="50" spans="1:41" x14ac:dyDescent="0.35">
      <c r="A50" t="str">
        <f>$A$26</f>
        <v>Long-Tail</v>
      </c>
      <c r="B50" s="6">
        <f t="shared" ref="B50:M50" si="26">+B36/Implied_Mean_Gross</f>
        <v>0.11834438163265981</v>
      </c>
      <c r="C50" s="6">
        <f t="shared" si="26"/>
        <v>0.11834438163265981</v>
      </c>
      <c r="D50" s="6">
        <f t="shared" si="26"/>
        <v>0.25791259436021269</v>
      </c>
      <c r="E50" s="6">
        <f t="shared" si="26"/>
        <v>0.25791259436021269</v>
      </c>
      <c r="F50" s="6"/>
      <c r="G50" s="6">
        <f t="shared" si="26"/>
        <v>0.100846316169227</v>
      </c>
      <c r="H50" s="6">
        <f t="shared" si="26"/>
        <v>0.14701075254580551</v>
      </c>
      <c r="I50" s="6">
        <f t="shared" si="26"/>
        <v>0.201692632338454</v>
      </c>
      <c r="J50" s="6">
        <f t="shared" si="26"/>
        <v>0.29402150509161101</v>
      </c>
      <c r="K50" s="6"/>
      <c r="L50" s="6">
        <f t="shared" si="26"/>
        <v>0.125</v>
      </c>
      <c r="M50" s="6">
        <f t="shared" si="26"/>
        <v>0.125</v>
      </c>
      <c r="O50" s="78" t="str">
        <f>$A$26</f>
        <v>Long-Tail</v>
      </c>
      <c r="P50" s="96">
        <f t="shared" ref="P50:AA50" si="27">+P36/Implied_Mean_Net</f>
        <v>7.5603970642688562E-2</v>
      </c>
      <c r="Q50" s="96">
        <f t="shared" si="27"/>
        <v>7.5603970642688562E-2</v>
      </c>
      <c r="R50" s="96">
        <f t="shared" si="27"/>
        <v>0.15390980888369798</v>
      </c>
      <c r="S50" s="96">
        <f t="shared" si="27"/>
        <v>0.15390980888369798</v>
      </c>
      <c r="T50" s="96"/>
      <c r="U50" s="96">
        <f t="shared" si="27"/>
        <v>5.8833549813055913E-2</v>
      </c>
      <c r="V50" s="96">
        <f t="shared" si="27"/>
        <v>8.259401066418158E-2</v>
      </c>
      <c r="W50" s="96">
        <f t="shared" si="27"/>
        <v>0.11766709962611183</v>
      </c>
      <c r="X50" s="6">
        <f t="shared" si="27"/>
        <v>0.16518802132836316</v>
      </c>
      <c r="Y50" s="6"/>
      <c r="Z50" s="6">
        <f t="shared" si="27"/>
        <v>0.1</v>
      </c>
      <c r="AA50" s="6">
        <f t="shared" si="27"/>
        <v>0.1</v>
      </c>
      <c r="AC50" s="78" t="str">
        <f>$A$26</f>
        <v>Long-Tail</v>
      </c>
      <c r="AD50" s="96">
        <f t="shared" ref="AD50:AO50" si="28">+AD36/(Implied_Mean_Gross-Implied_Mean_Net)</f>
        <v>0.28610013795464351</v>
      </c>
      <c r="AE50" s="96">
        <f t="shared" si="28"/>
        <v>0.28610013795464351</v>
      </c>
      <c r="AF50" s="96">
        <f t="shared" si="28"/>
        <v>0.66250553774603638</v>
      </c>
      <c r="AG50" s="96">
        <f t="shared" si="28"/>
        <v>0.66250553774603638</v>
      </c>
      <c r="AH50" s="96"/>
      <c r="AI50" s="96">
        <f t="shared" si="28"/>
        <v>0.25574647174480747</v>
      </c>
      <c r="AJ50" s="96">
        <f t="shared" si="28"/>
        <v>0.3831626761361418</v>
      </c>
      <c r="AK50" s="96">
        <f t="shared" si="28"/>
        <v>0.51149294348961494</v>
      </c>
      <c r="AL50" s="6">
        <f t="shared" si="28"/>
        <v>0.7663253522722836</v>
      </c>
      <c r="AM50" s="6"/>
      <c r="AN50" s="6">
        <f t="shared" si="28"/>
        <v>0.22499999999999953</v>
      </c>
      <c r="AO50" s="6">
        <f t="shared" si="28"/>
        <v>0.22499999999999953</v>
      </c>
    </row>
    <row r="51" spans="1:41" x14ac:dyDescent="0.35">
      <c r="A51" t="str">
        <f>$A$27</f>
        <v>Short-Tail</v>
      </c>
      <c r="B51" s="6">
        <f>+B37/Short_Tail!Implied_Mean_Gross</f>
        <v>8.1649494836701086E-2</v>
      </c>
      <c r="C51" s="6">
        <f>+C37/Short_Tail!Implied_Mean_Gross</f>
        <v>8.1649494836701086E-2</v>
      </c>
      <c r="D51" s="6">
        <f>+D37/Short_Tail!Implied_Mean_Gross</f>
        <v>0.17409200119893603</v>
      </c>
      <c r="E51" s="6">
        <f>+E37/Short_Tail!Implied_Mean_Gross</f>
        <v>0.17409200119893603</v>
      </c>
      <c r="F51" s="6"/>
      <c r="G51" s="6">
        <f>+G37/Short_Tail!Implied_Mean_Gross</f>
        <v>1.7345762049972912E-2</v>
      </c>
      <c r="H51" s="6">
        <f>+H37/Short_Tail!Implied_Mean_Gross</f>
        <v>2.3841176697813785E-2</v>
      </c>
      <c r="I51" s="6">
        <f>+I37/Short_Tail!Implied_Mean_Gross</f>
        <v>3.4691524099945824E-2</v>
      </c>
      <c r="J51" s="6">
        <f>+J37/Short_Tail!Implied_Mean_Gross</f>
        <v>4.7682353395627569E-2</v>
      </c>
      <c r="K51" s="6"/>
      <c r="L51" s="6">
        <f>+L37/Short_Tail!Implied_Mean_Gross</f>
        <v>0.05</v>
      </c>
      <c r="M51" s="6">
        <f>+M37/Short_Tail!Implied_Mean_Gross</f>
        <v>0.05</v>
      </c>
      <c r="O51" s="78" t="str">
        <f>$A$27</f>
        <v>Short-Tail</v>
      </c>
      <c r="P51" s="96">
        <f>+P37/Short_Tail!Implied_Mean_Net</f>
        <v>9.7799050536557103E-2</v>
      </c>
      <c r="Q51" s="96">
        <f>+Q37/Short_Tail!Implied_Mean_Net</f>
        <v>9.7799050536557103E-2</v>
      </c>
      <c r="R51" s="96">
        <f>+R37/Short_Tail!Implied_Mean_Net</f>
        <v>0.21836551683151023</v>
      </c>
      <c r="S51" s="96">
        <f>+S37/Short_Tail!Implied_Mean_Net</f>
        <v>0.21836551683151023</v>
      </c>
      <c r="T51" s="96"/>
      <c r="U51" s="96">
        <f>+U37/Short_Tail!Implied_Mean_Net</f>
        <v>2.4046684698897421E-2</v>
      </c>
      <c r="V51" s="96">
        <f>+V37/Short_Tail!Implied_Mean_Net</f>
        <v>3.5214729523240861E-2</v>
      </c>
      <c r="W51" s="96">
        <f>+W37/Short_Tail!Implied_Mean_Net</f>
        <v>4.8093369397794843E-2</v>
      </c>
      <c r="X51" s="6">
        <f>+X37/Short_Tail!Implied_Mean_Net</f>
        <v>7.0429459046481721E-2</v>
      </c>
      <c r="Y51" s="6"/>
      <c r="Z51" s="6">
        <f>+Z37/Short_Tail!Implied_Mean_Net</f>
        <v>0.05</v>
      </c>
      <c r="AA51" s="6">
        <f>+AA37/Short_Tail!Implied_Mean_Net</f>
        <v>0.05</v>
      </c>
      <c r="AC51" s="78" t="str">
        <f>$A$27</f>
        <v>Short-Tail</v>
      </c>
      <c r="AD51" s="96">
        <f>+AD37/(Short_Tail!Implied_Mean_Gross-Short_Tail!Implied_Mean_Net)</f>
        <v>3.3080710226779768E-2</v>
      </c>
      <c r="AE51" s="96">
        <f>+AE37/(Short_Tail!Implied_Mean_Gross-Short_Tail!Implied_Mean_Net)</f>
        <v>3.3080710226779768E-2</v>
      </c>
      <c r="AF51" s="96">
        <f>+AF37/(Short_Tail!Implied_Mean_Gross-Short_Tail!Implied_Mean_Net)</f>
        <v>5.4088931269806073E-2</v>
      </c>
      <c r="AG51" s="96">
        <f>+AG37/(Short_Tail!Implied_Mean_Gross-Short_Tail!Implied_Mean_Net)</f>
        <v>5.4088931269806073E-2</v>
      </c>
      <c r="AH51" s="96"/>
      <c r="AI51" s="96">
        <f>+AI37/(Short_Tail!Implied_Mean_Gross-Short_Tail!Implied_Mean_Net)</f>
        <v>5.6296620699790509E-2</v>
      </c>
      <c r="AJ51" s="96">
        <f>+AJ37/(Short_Tail!Implied_Mean_Gross-Short_Tail!Implied_Mean_Net)</f>
        <v>8.5922185076897292E-2</v>
      </c>
      <c r="AK51" s="96">
        <f>+AK37/(Short_Tail!Implied_Mean_Gross-Short_Tail!Implied_Mean_Net)</f>
        <v>0.11259324139958102</v>
      </c>
      <c r="AL51" s="6">
        <f>+AL37/(Short_Tail!Implied_Mean_Gross-Short_Tail!Implied_Mean_Net)</f>
        <v>0.17184437015379458</v>
      </c>
      <c r="AM51" s="6"/>
      <c r="AN51" s="6">
        <f>+AN37/(Short_Tail!Implied_Mean_Gross-Short_Tail!Implied_Mean_Net)</f>
        <v>0.05</v>
      </c>
      <c r="AO51" s="6">
        <f>+AO37/(Short_Tail!Implied_Mean_Gross-Short_Tail!Implied_Mean_Net)</f>
        <v>0.05</v>
      </c>
    </row>
    <row r="52" spans="1:41" ht="7" customHeight="1" x14ac:dyDescent="0.35"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O52" s="78"/>
      <c r="P52" s="96"/>
      <c r="Q52" s="96"/>
      <c r="R52" s="96"/>
      <c r="S52" s="96"/>
      <c r="T52" s="96"/>
      <c r="U52" s="96"/>
      <c r="V52" s="96"/>
      <c r="W52" s="96"/>
      <c r="X52" s="6"/>
      <c r="Y52" s="6"/>
      <c r="Z52" s="6"/>
      <c r="AA52" s="6"/>
      <c r="AC52" s="78"/>
      <c r="AD52" s="96"/>
      <c r="AE52" s="96"/>
      <c r="AF52" s="96"/>
      <c r="AG52" s="96"/>
      <c r="AH52" s="96"/>
      <c r="AI52" s="96"/>
      <c r="AJ52" s="96"/>
      <c r="AK52" s="96"/>
      <c r="AL52" s="6"/>
      <c r="AM52" s="6"/>
      <c r="AN52" s="6"/>
      <c r="AO52" s="6"/>
    </row>
    <row r="53" spans="1:41" ht="15" customHeight="1" x14ac:dyDescent="0.35">
      <c r="A53" s="11" t="s">
        <v>100</v>
      </c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O53" s="91" t="str">
        <f>A53</f>
        <v>Average of Pro rata and Marginal</v>
      </c>
      <c r="P53" s="96"/>
      <c r="Q53" s="96"/>
      <c r="R53" s="96"/>
      <c r="S53" s="96"/>
      <c r="T53" s="96"/>
      <c r="U53" s="96"/>
      <c r="V53" s="96"/>
      <c r="W53" s="96"/>
      <c r="X53" s="6"/>
      <c r="Y53" s="6"/>
      <c r="Z53" s="6"/>
      <c r="AA53" s="6"/>
      <c r="AC53" s="91" t="str">
        <f>O53</f>
        <v>Average of Pro rata and Marginal</v>
      </c>
      <c r="AD53" s="96"/>
      <c r="AE53" s="96"/>
      <c r="AF53" s="96"/>
      <c r="AG53" s="96"/>
      <c r="AH53" s="96"/>
      <c r="AI53" s="96"/>
      <c r="AJ53" s="96"/>
      <c r="AK53" s="96"/>
      <c r="AL53" s="6"/>
      <c r="AM53" s="6"/>
      <c r="AN53" s="6"/>
      <c r="AO53" s="6"/>
    </row>
    <row r="54" spans="1:41" x14ac:dyDescent="0.35">
      <c r="A54" t="str">
        <f>$A$26</f>
        <v>Long-Tail</v>
      </c>
      <c r="B54" s="6">
        <f t="shared" ref="B54:M54" si="29">+B40/Implied_Mean_Gross</f>
        <v>0.11187777718155534</v>
      </c>
      <c r="C54" s="6">
        <f t="shared" si="29"/>
        <v>0.11187777718155534</v>
      </c>
      <c r="D54" s="6">
        <f t="shared" si="29"/>
        <v>0.24157852857967554</v>
      </c>
      <c r="E54" s="6">
        <f t="shared" si="29"/>
        <v>0.24157852857967554</v>
      </c>
      <c r="F54" s="6"/>
      <c r="G54" s="6">
        <f t="shared" si="29"/>
        <v>9.7130789958017119E-2</v>
      </c>
      <c r="H54" s="6">
        <f t="shared" si="29"/>
        <v>0.1411065430415912</v>
      </c>
      <c r="I54" s="6">
        <f t="shared" si="29"/>
        <v>0.19426157991603424</v>
      </c>
      <c r="J54" s="6">
        <f t="shared" si="29"/>
        <v>0.28221308608318241</v>
      </c>
      <c r="K54" s="6"/>
      <c r="L54" s="6">
        <f t="shared" si="29"/>
        <v>0.125</v>
      </c>
      <c r="M54" s="6">
        <f t="shared" si="29"/>
        <v>0.125</v>
      </c>
      <c r="O54" s="78" t="str">
        <f>$A$26</f>
        <v>Long-Tail</v>
      </c>
      <c r="P54" s="96">
        <f t="shared" ref="P54:AA54" si="30">+P40/Implied_Mean_Net</f>
        <v>7.1238428462948949E-2</v>
      </c>
      <c r="Q54" s="96">
        <f t="shared" si="30"/>
        <v>7.1238428462948949E-2</v>
      </c>
      <c r="R54" s="96">
        <f t="shared" si="30"/>
        <v>0.14360509492124779</v>
      </c>
      <c r="S54" s="96">
        <f t="shared" si="30"/>
        <v>0.14360509492124779</v>
      </c>
      <c r="T54" s="96"/>
      <c r="U54" s="96">
        <f t="shared" si="30"/>
        <v>5.5964537209071019E-2</v>
      </c>
      <c r="V54" s="96">
        <f t="shared" si="30"/>
        <v>7.8142038991151103E-2</v>
      </c>
      <c r="W54" s="96">
        <f t="shared" si="30"/>
        <v>0.11192907441814204</v>
      </c>
      <c r="X54" s="6">
        <f t="shared" si="30"/>
        <v>0.15628407798230221</v>
      </c>
      <c r="Y54" s="6"/>
      <c r="Z54" s="6">
        <f t="shared" si="30"/>
        <v>0.1</v>
      </c>
      <c r="AA54" s="6">
        <f t="shared" si="30"/>
        <v>0.1</v>
      </c>
      <c r="AC54" s="78" t="str">
        <f>$A$26</f>
        <v>Long-Tail</v>
      </c>
      <c r="AD54" s="96">
        <f t="shared" ref="AD54:AO54" si="31">+AD40/(Implied_Mean_Gross-Implied_Mean_Net)</f>
        <v>0.27409219932052364</v>
      </c>
      <c r="AE54" s="96">
        <f t="shared" si="31"/>
        <v>0.27409219932052364</v>
      </c>
      <c r="AF54" s="96">
        <f t="shared" si="31"/>
        <v>0.63207437977644232</v>
      </c>
      <c r="AG54" s="96">
        <f t="shared" si="31"/>
        <v>0.63207437977644232</v>
      </c>
      <c r="AH54" s="96"/>
      <c r="AI54" s="96">
        <f t="shared" si="31"/>
        <v>0.25574647174480747</v>
      </c>
      <c r="AJ54" s="96">
        <f t="shared" si="31"/>
        <v>0.3831626761361418</v>
      </c>
      <c r="AK54" s="96">
        <f t="shared" si="31"/>
        <v>0.51149294348961494</v>
      </c>
      <c r="AL54" s="6">
        <f t="shared" si="31"/>
        <v>0.7663253522722836</v>
      </c>
      <c r="AM54" s="6"/>
      <c r="AN54" s="6">
        <f t="shared" si="31"/>
        <v>0.22499999999999953</v>
      </c>
      <c r="AO54" s="6">
        <f t="shared" si="31"/>
        <v>0.22499999999999953</v>
      </c>
    </row>
    <row r="55" spans="1:41" x14ac:dyDescent="0.35">
      <c r="A55" t="str">
        <f>$A$27</f>
        <v>Short-Tail</v>
      </c>
      <c r="B55" s="6">
        <f>+B41/Short_Tail!Implied_Mean_Gross</f>
        <v>0.11398251709222335</v>
      </c>
      <c r="C55" s="6">
        <f>+C41/Short_Tail!Implied_Mean_Gross</f>
        <v>0.11398251709222335</v>
      </c>
      <c r="D55" s="6">
        <f>+D41/Short_Tail!Implied_Mean_Gross</f>
        <v>0.25576233010162186</v>
      </c>
      <c r="E55" s="6">
        <f>+E41/Short_Tail!Implied_Mean_Gross</f>
        <v>0.25576233010162186</v>
      </c>
      <c r="F55" s="6"/>
      <c r="G55" s="6">
        <f>+G41/Short_Tail!Implied_Mean_Gross</f>
        <v>3.5923393106022251E-2</v>
      </c>
      <c r="H55" s="6">
        <f>+H41/Short_Tail!Implied_Mean_Gross</f>
        <v>5.3362224218885285E-2</v>
      </c>
      <c r="I55" s="6">
        <f>+I41/Short_Tail!Implied_Mean_Gross</f>
        <v>7.1846786212044503E-2</v>
      </c>
      <c r="J55" s="6">
        <f>+J41/Short_Tail!Implied_Mean_Gross</f>
        <v>0.10672444843777057</v>
      </c>
      <c r="K55" s="6"/>
      <c r="L55" s="6">
        <f>+L41/Short_Tail!Implied_Mean_Gross</f>
        <v>0.05</v>
      </c>
      <c r="M55" s="6">
        <f>+M41/Short_Tail!Implied_Mean_Gross</f>
        <v>0.05</v>
      </c>
      <c r="O55" s="78" t="str">
        <f>$A$27</f>
        <v>Short-Tail</v>
      </c>
      <c r="P55" s="96">
        <f>+P41/Short_Tail!Implied_Mean_Net</f>
        <v>0.11962676143525514</v>
      </c>
      <c r="Q55" s="96">
        <f>+Q41/Short_Tail!Implied_Mean_Net</f>
        <v>0.11962676143525514</v>
      </c>
      <c r="R55" s="96">
        <f>+R41/Short_Tail!Implied_Mean_Net</f>
        <v>0.26988908664376127</v>
      </c>
      <c r="S55" s="96">
        <f>+S41/Short_Tail!Implied_Mean_Net</f>
        <v>0.26988908664376127</v>
      </c>
      <c r="T55" s="96"/>
      <c r="U55" s="96">
        <f>+U41/Short_Tail!Implied_Mean_Net</f>
        <v>3.8391747718821902E-2</v>
      </c>
      <c r="V55" s="96">
        <f>+V41/Short_Tail!Implied_Mean_Net</f>
        <v>5.7474587888393214E-2</v>
      </c>
      <c r="W55" s="96">
        <f>+W41/Short_Tail!Implied_Mean_Net</f>
        <v>7.6783495437643803E-2</v>
      </c>
      <c r="X55" s="6">
        <f>+X41/Short_Tail!Implied_Mean_Net</f>
        <v>0.11494917577678643</v>
      </c>
      <c r="Y55" s="6"/>
      <c r="Z55" s="6">
        <f>+Z41/Short_Tail!Implied_Mean_Net</f>
        <v>0.05</v>
      </c>
      <c r="AA55" s="6">
        <f>+AA41/Short_Tail!Implied_Mean_Net</f>
        <v>0.05</v>
      </c>
      <c r="AC55" s="78" t="str">
        <f>$A$27</f>
        <v>Short-Tail</v>
      </c>
      <c r="AD55" s="96">
        <f>+AD41/(Short_Tail!Implied_Mean_Gross-Short_Tail!Implied_Mean_Net)</f>
        <v>9.312040339737912E-2</v>
      </c>
      <c r="AE55" s="96">
        <f>+AE41/(Short_Tail!Implied_Mean_Gross-Short_Tail!Implied_Mean_Net)</f>
        <v>9.312040339737912E-2</v>
      </c>
      <c r="AF55" s="96">
        <f>+AF41/(Short_Tail!Implied_Mean_Gross-Short_Tail!Implied_Mean_Net)</f>
        <v>0.20624472111777675</v>
      </c>
      <c r="AG55" s="96">
        <f>+AG41/(Short_Tail!Implied_Mean_Gross-Short_Tail!Implied_Mean_Net)</f>
        <v>0.20624472111777675</v>
      </c>
      <c r="AH55" s="96"/>
      <c r="AI55" s="96">
        <f>+AI41/(Short_Tail!Implied_Mean_Gross-Short_Tail!Implied_Mean_Net)</f>
        <v>5.6296620699790509E-2</v>
      </c>
      <c r="AJ55" s="96">
        <f>+AJ41/(Short_Tail!Implied_Mean_Gross-Short_Tail!Implied_Mean_Net)</f>
        <v>8.5922185076897403E-2</v>
      </c>
      <c r="AK55" s="96">
        <f>+AK41/(Short_Tail!Implied_Mean_Gross-Short_Tail!Implied_Mean_Net)</f>
        <v>0.11259324139958102</v>
      </c>
      <c r="AL55" s="6">
        <f>+AL41/(Short_Tail!Implied_Mean_Gross-Short_Tail!Implied_Mean_Net)</f>
        <v>0.17184437015379481</v>
      </c>
      <c r="AM55" s="6"/>
      <c r="AN55" s="6">
        <f>+AN41/(Short_Tail!Implied_Mean_Gross-Short_Tail!Implied_Mean_Net)</f>
        <v>0.05</v>
      </c>
      <c r="AO55" s="6">
        <f>+AO41/(Short_Tail!Implied_Mean_Gross-Short_Tail!Implied_Mean_Net)</f>
        <v>0.05</v>
      </c>
    </row>
    <row r="56" spans="1:41" x14ac:dyDescent="0.35">
      <c r="O56" s="78"/>
      <c r="P56" s="78"/>
      <c r="Q56" s="78"/>
      <c r="R56" s="78"/>
      <c r="S56" s="78"/>
      <c r="T56" s="78"/>
      <c r="U56" s="78"/>
      <c r="V56" s="78"/>
      <c r="W56" s="78"/>
      <c r="AC56" s="78"/>
      <c r="AD56" s="78"/>
      <c r="AE56" s="78"/>
      <c r="AF56" s="78"/>
      <c r="AG56" s="78"/>
      <c r="AH56" s="78"/>
      <c r="AI56" s="78"/>
      <c r="AJ56" s="78"/>
      <c r="AK56" s="78"/>
    </row>
    <row r="57" spans="1:41" x14ac:dyDescent="0.35">
      <c r="O57" s="78"/>
      <c r="P57" s="78"/>
      <c r="Q57" s="78"/>
      <c r="R57" s="78"/>
      <c r="S57" s="78"/>
      <c r="T57" s="78"/>
      <c r="U57" s="78"/>
      <c r="V57" s="78"/>
      <c r="W57" s="78"/>
      <c r="AC57" s="78"/>
      <c r="AD57" s="78"/>
      <c r="AE57" s="78"/>
      <c r="AF57" s="78"/>
      <c r="AG57" s="78"/>
      <c r="AH57" s="78"/>
      <c r="AI57" s="78"/>
      <c r="AJ57" s="78"/>
      <c r="AK57" s="78"/>
    </row>
    <row r="58" spans="1:41" ht="15.5" x14ac:dyDescent="0.35">
      <c r="A58" s="66" t="s">
        <v>107</v>
      </c>
      <c r="O58" s="65" t="str">
        <f>A58</f>
        <v>Section 2: Intermediate Calculation Steps</v>
      </c>
      <c r="P58" s="78"/>
      <c r="Q58" s="78"/>
      <c r="R58" s="78"/>
      <c r="S58" s="78"/>
      <c r="T58" s="78"/>
      <c r="U58" s="78"/>
      <c r="V58" s="78"/>
      <c r="W58" s="78"/>
      <c r="AC58" s="65" t="str">
        <f>O58</f>
        <v>Section 2: Intermediate Calculation Steps</v>
      </c>
      <c r="AD58" s="78"/>
      <c r="AE58" s="78"/>
      <c r="AF58" s="78"/>
      <c r="AG58" s="78"/>
      <c r="AH58" s="78"/>
      <c r="AI58" s="78"/>
      <c r="AJ58" s="78"/>
      <c r="AK58" s="78"/>
    </row>
    <row r="59" spans="1:41" x14ac:dyDescent="0.35">
      <c r="O59" s="78"/>
      <c r="P59" s="78"/>
      <c r="Q59" s="78"/>
      <c r="R59" s="78"/>
      <c r="S59" s="78"/>
      <c r="T59" s="78"/>
      <c r="U59" s="78"/>
      <c r="V59" s="78"/>
      <c r="W59" s="78"/>
      <c r="AC59" s="78"/>
      <c r="AD59" s="78"/>
      <c r="AE59" s="78"/>
      <c r="AF59" s="78"/>
      <c r="AG59" s="78"/>
      <c r="AH59" s="78"/>
      <c r="AI59" s="78"/>
      <c r="AJ59" s="78"/>
      <c r="AK59" s="78"/>
    </row>
    <row r="60" spans="1:41" x14ac:dyDescent="0.35">
      <c r="A60" s="1" t="s">
        <v>105</v>
      </c>
      <c r="O60" s="89" t="str">
        <f>A60</f>
        <v>Implied RA @ Confidence Level</v>
      </c>
      <c r="P60" s="78"/>
      <c r="Q60" s="78"/>
      <c r="R60" s="78"/>
      <c r="S60" s="78"/>
      <c r="T60" s="78"/>
      <c r="U60" s="78"/>
      <c r="V60" s="78"/>
      <c r="W60" s="78"/>
      <c r="AC60" s="89" t="str">
        <f>O60</f>
        <v>Implied RA @ Confidence Level</v>
      </c>
      <c r="AD60" s="78"/>
      <c r="AE60" s="78"/>
      <c r="AF60" s="78"/>
      <c r="AG60" s="78"/>
      <c r="AH60" s="78"/>
      <c r="AI60" s="78"/>
      <c r="AJ60" s="78"/>
      <c r="AK60" s="78"/>
    </row>
    <row r="61" spans="1:41" x14ac:dyDescent="0.35">
      <c r="A61" t="str">
        <f>$A$26</f>
        <v>Long-Tail</v>
      </c>
      <c r="B61" s="5">
        <f>LOGINV(B14,Lognormal_Mu_Gross,Lognormal_Sigma_Gross)-Implied_Mean_Gross</f>
        <v>6035.7613889972781</v>
      </c>
      <c r="C61" s="5">
        <f>LOGINV(C14,Lognormal_Mu_Gross,Lognormal_Sigma_Gross)-Implied_Mean_Gross</f>
        <v>6035.7613889972781</v>
      </c>
      <c r="D61" s="5">
        <f>LOGINV(D14,Lognormal_Mu_Gross,Lognormal_Sigma_Gross)-Implied_Mean_Gross</f>
        <v>13194.289487711278</v>
      </c>
      <c r="E61" s="5">
        <f>LOGINV(E14,Lognormal_Mu_Gross,Lognormal_Sigma_Gross)-Implied_Mean_Gross</f>
        <v>13194.289487711278</v>
      </c>
      <c r="F61" s="5"/>
      <c r="G61" s="51">
        <f ca="1">LOGINV(G14,Lognormal_Mu_Gross,Lognormal_Sigma_Gross)-Implied_Mean_Gross</f>
        <v>4634.2045303137493</v>
      </c>
      <c r="H61" s="51">
        <f ca="1">LOGINV(H14,Lognormal_Mu_Gross,Lognormal_Sigma_Gross)-Implied_Mean_Gross</f>
        <v>6770.486021678611</v>
      </c>
      <c r="I61" s="51">
        <f ca="1">LOGINV(I14,Lognormal_Mu_Gross,Lognormal_Sigma_Gross)-Implied_Mean_Gross</f>
        <v>9305.281506366744</v>
      </c>
      <c r="J61" s="51">
        <f ca="1">LOGINV(J14,Lognormal_Mu_Gross,Lognormal_Sigma_Gross)-Implied_Mean_Gross</f>
        <v>13573.865837146077</v>
      </c>
      <c r="K61" s="51"/>
      <c r="L61" s="51">
        <f ca="1">LOGINV(L14,Lognormal_Mu_Gross,Lognormal_Sigma_Gross)-Implied_Mean_Gross</f>
        <v>6049.35532340996</v>
      </c>
      <c r="M61" s="51">
        <f ca="1">LOGINV(M14,Lognormal_Mu_Gross,Lognormal_Sigma_Gross)-Implied_Mean_Gross</f>
        <v>6049.35532340996</v>
      </c>
      <c r="O61" s="78" t="str">
        <f>A61</f>
        <v>Long-Tail</v>
      </c>
      <c r="P61" s="92">
        <f>LOGINV(P14,Lognormal_Mu_Net,Lognormal_Sigma_Net)-Implied_Mean_Net</f>
        <v>3168.5403505675349</v>
      </c>
      <c r="Q61" s="92">
        <f>LOGINV(Q14,Lognormal_Mu_Net,Lognormal_Sigma_Net)-Implied_Mean_Net</f>
        <v>3168.5403505675349</v>
      </c>
      <c r="R61" s="92">
        <f>LOGINV(R14,Lognormal_Mu_Net,Lognormal_Sigma_Net)-Implied_Mean_Net</f>
        <v>6558.0904545256562</v>
      </c>
      <c r="S61" s="92">
        <f>LOGINV(S14,Lognormal_Mu_Net,Lognormal_Sigma_Net)-Implied_Mean_Net</f>
        <v>6558.0904545256562</v>
      </c>
      <c r="T61" s="92"/>
      <c r="U61" s="95">
        <f ca="1">LOGINV(U14,Lognormal_Mu_Net,Lognormal_Sigma_Net)-Implied_Mean_Net</f>
        <v>2122.9454761740708</v>
      </c>
      <c r="V61" s="95">
        <f ca="1">LOGINV(V14,Lognormal_Mu_Net,Lognormal_Sigma_Net)-Implied_Mean_Net</f>
        <v>2978.2232336597444</v>
      </c>
      <c r="W61" s="95">
        <f ca="1">LOGINV(W14,Lognormal_Mu_Net,Lognormal_Sigma_Net)-Implied_Mean_Net</f>
        <v>4214.2891649315425</v>
      </c>
      <c r="X61" s="51">
        <f ca="1">LOGINV(X14,Lognormal_Mu_Net,Lognormal_Sigma_Net)-Implied_Mean_Net</f>
        <v>5887.3806783655891</v>
      </c>
      <c r="Y61" s="51"/>
      <c r="Z61" s="51">
        <f ca="1">LOGINV(Z14,Lognormal_Mu_Net,Lognormal_Sigma_Net)-Implied_Mean_Net</f>
        <v>3641.8226627644617</v>
      </c>
      <c r="AA61" s="51">
        <f ca="1">LOGINV(AA14,Lognormal_Mu_Net,Lognormal_Sigma_Net)-Implied_Mean_Net</f>
        <v>3641.8226627644617</v>
      </c>
      <c r="AC61" s="78" t="str">
        <f>O61</f>
        <v>Long-Tail</v>
      </c>
      <c r="AD61" s="92">
        <f t="shared" ref="AD61:AG63" si="32">B61-P61</f>
        <v>2867.2210384297432</v>
      </c>
      <c r="AE61" s="92">
        <f t="shared" si="32"/>
        <v>2867.2210384297432</v>
      </c>
      <c r="AF61" s="92">
        <f t="shared" si="32"/>
        <v>6636.1990331856214</v>
      </c>
      <c r="AG61" s="92">
        <f t="shared" si="32"/>
        <v>6636.1990331856214</v>
      </c>
      <c r="AH61" s="92"/>
      <c r="AI61" s="95">
        <f t="shared" ref="AI61:AL63" ca="1" si="33">G61-U61</f>
        <v>2511.2590541396785</v>
      </c>
      <c r="AJ61" s="95">
        <f t="shared" ca="1" si="33"/>
        <v>3792.2627880188666</v>
      </c>
      <c r="AK61" s="95">
        <f t="shared" ca="1" si="33"/>
        <v>5090.9923414352015</v>
      </c>
      <c r="AL61" s="51">
        <f t="shared" ca="1" si="33"/>
        <v>7686.4851587804878</v>
      </c>
      <c r="AM61" s="51"/>
      <c r="AN61" s="51">
        <f t="shared" ref="AN61:AO63" ca="1" si="34">L61-Z61</f>
        <v>2407.5326606454983</v>
      </c>
      <c r="AO61" s="51">
        <f t="shared" ca="1" si="34"/>
        <v>2407.5326606454983</v>
      </c>
    </row>
    <row r="62" spans="1:41" x14ac:dyDescent="0.35">
      <c r="A62" t="str">
        <f>$A$27</f>
        <v>Short-Tail</v>
      </c>
      <c r="B62" s="5">
        <f>LOGINV(B14,Short_Tail!Lognormal_Mu_Gross,Short_Tail!Lognormal_Sigma_Gross)-Short_Tail!Implied_Mean_Gross</f>
        <v>1675.5826922895449</v>
      </c>
      <c r="C62" s="5">
        <f>LOGINV(C14,Short_Tail!Lognormal_Mu_Gross,Short_Tail!Lognormal_Sigma_Gross)-Short_Tail!Implied_Mean_Gross</f>
        <v>1675.5826922895449</v>
      </c>
      <c r="D62" s="5">
        <f>LOGINV(D14,Short_Tail!Lognormal_Mu_Gross,Short_Tail!Lognormal_Sigma_Gross)-Short_Tail!Implied_Mean_Gross</f>
        <v>3953.2018946732005</v>
      </c>
      <c r="E62" s="5">
        <f>LOGINV(E14,Short_Tail!Lognormal_Mu_Gross,Short_Tail!Lognormal_Sigma_Gross)-Short_Tail!Implied_Mean_Gross</f>
        <v>3953.2018946732005</v>
      </c>
      <c r="F62" s="5"/>
      <c r="G62" s="51">
        <f ca="1">LOGINV(G14,Short_Tail!Lognormal_Mu_Gross,Short_Tail!Lognormal_Sigma_Gross)-Short_Tail!Implied_Mean_Gross</f>
        <v>1245.3288771793905</v>
      </c>
      <c r="H62" s="51">
        <f ca="1">LOGINV(H14,Short_Tail!Lognormal_Mu_Gross,Short_Tail!Lognormal_Sigma_Gross)-Short_Tail!Implied_Mean_Gross</f>
        <v>1903.2211116667186</v>
      </c>
      <c r="I62" s="51">
        <f ca="1">LOGINV(I14,Short_Tail!Lognormal_Mu_Gross,Short_Tail!Lognormal_Sigma_Gross)-Short_Tail!Implied_Mean_Gross</f>
        <v>2699.4551915868142</v>
      </c>
      <c r="J62" s="51">
        <f ca="1">LOGINV(J14,Short_Tail!Lognormal_Mu_Gross,Short_Tail!Lognormal_Sigma_Gross)-Short_Tail!Implied_Mean_Gross</f>
        <v>4077.6140623225037</v>
      </c>
      <c r="K62" s="51"/>
      <c r="L62" s="51">
        <f ca="1">LOGINV(L14,Short_Tail!Lognormal_Mu_Gross,Short_Tail!Lognormal_Sigma_Gross)-Short_Tail!Implied_Mean_Gross</f>
        <v>1679.7814765413423</v>
      </c>
      <c r="M62" s="51">
        <f ca="1">LOGINV(M14,Short_Tail!Lognormal_Mu_Gross,Short_Tail!Lognormal_Sigma_Gross)-Short_Tail!Implied_Mean_Gross</f>
        <v>1679.7814765413423</v>
      </c>
      <c r="O62" s="78" t="str">
        <f t="shared" ref="O62:O63" si="35">A62</f>
        <v>Short-Tail</v>
      </c>
      <c r="P62" s="92">
        <f>LOGINV(P14,Short_Tail!Lognormal_Mu_Net,Short_Tail!Lognormal_Sigma_Net)-Short_Tail!Implied_Mean_Net</f>
        <v>1340.4661538316359</v>
      </c>
      <c r="Q62" s="92">
        <f>LOGINV(Q14,Short_Tail!Lognormal_Mu_Net,Short_Tail!Lognormal_Sigma_Net)-Short_Tail!Implied_Mean_Net</f>
        <v>1340.4661538316359</v>
      </c>
      <c r="R62" s="92">
        <f>LOGINV(R14,Short_Tail!Lognormal_Mu_Net,Short_Tail!Lognormal_Sigma_Net)-Short_Tail!Implied_Mean_Net</f>
        <v>3162.5615157385582</v>
      </c>
      <c r="S62" s="92">
        <f>LOGINV(S14,Short_Tail!Lognormal_Mu_Net,Short_Tail!Lognormal_Sigma_Net)-Short_Tail!Implied_Mean_Net</f>
        <v>3162.5615157385582</v>
      </c>
      <c r="T62" s="92"/>
      <c r="U62" s="95">
        <f ca="1">LOGINV(U14,Short_Tail!Lognormal_Mu_Net,Short_Tail!Lognormal_Sigma_Net)-Short_Tail!Implied_Mean_Net</f>
        <v>815.82929885631529</v>
      </c>
      <c r="V62" s="95">
        <f ca="1">LOGINV(V14,Short_Tail!Lognormal_Mu_Net,Short_Tail!Lognormal_Sigma_Net)-Short_Tail!Implied_Mean_Net</f>
        <v>1243.6715768632876</v>
      </c>
      <c r="W62" s="95">
        <f ca="1">LOGINV(W14,Short_Tail!Lognormal_Mu_Net,Short_Tail!Lognormal_Sigma_Net)-Short_Tail!Implied_Mean_Net</f>
        <v>1882.7231584265755</v>
      </c>
      <c r="X62" s="51">
        <f ca="1">LOGINV(X14,Short_Tail!Lognormal_Mu_Net,Short_Tail!Lognormal_Sigma_Net)-Short_Tail!Implied_Mean_Net</f>
        <v>2787.1428296650865</v>
      </c>
      <c r="Y62" s="51"/>
      <c r="Z62" s="51">
        <f ca="1">LOGINV(Z14,Short_Tail!Lognormal_Mu_Net,Short_Tail!Lognormal_Sigma_Net)-Short_Tail!Implied_Mean_Net</f>
        <v>1583.6970389918661</v>
      </c>
      <c r="AA62" s="51">
        <f ca="1">LOGINV(AA14,Short_Tail!Lognormal_Mu_Net,Short_Tail!Lognormal_Sigma_Net)-Short_Tail!Implied_Mean_Net</f>
        <v>1583.6970389918661</v>
      </c>
      <c r="AC62" s="78" t="str">
        <f t="shared" ref="AC62:AC63" si="36">O62</f>
        <v>Short-Tail</v>
      </c>
      <c r="AD62" s="92">
        <f t="shared" si="32"/>
        <v>335.11653845790897</v>
      </c>
      <c r="AE62" s="92">
        <f t="shared" si="32"/>
        <v>335.11653845790897</v>
      </c>
      <c r="AF62" s="92">
        <f t="shared" si="32"/>
        <v>790.64037893464229</v>
      </c>
      <c r="AG62" s="92">
        <f t="shared" si="32"/>
        <v>790.64037893464229</v>
      </c>
      <c r="AH62" s="92"/>
      <c r="AI62" s="95">
        <f t="shared" ca="1" si="33"/>
        <v>429.49957832307518</v>
      </c>
      <c r="AJ62" s="95">
        <f t="shared" ca="1" si="33"/>
        <v>659.54953480343102</v>
      </c>
      <c r="AK62" s="95">
        <f t="shared" ca="1" si="33"/>
        <v>816.73203316023864</v>
      </c>
      <c r="AL62" s="51">
        <f t="shared" ca="1" si="33"/>
        <v>1290.4712326574172</v>
      </c>
      <c r="AM62" s="51"/>
      <c r="AN62" s="51">
        <f t="shared" ca="1" si="34"/>
        <v>96.084437549476206</v>
      </c>
      <c r="AO62" s="51">
        <f t="shared" ca="1" si="34"/>
        <v>96.084437549476206</v>
      </c>
    </row>
    <row r="63" spans="1:41" x14ac:dyDescent="0.35">
      <c r="A63" s="87" t="s">
        <v>104</v>
      </c>
      <c r="B63" s="88">
        <f t="shared" ref="B63:E63" si="37">+B61+B62</f>
        <v>7711.344081286823</v>
      </c>
      <c r="C63" s="88">
        <f t="shared" si="37"/>
        <v>7711.344081286823</v>
      </c>
      <c r="D63" s="88">
        <f t="shared" si="37"/>
        <v>17147.491382384476</v>
      </c>
      <c r="E63" s="88">
        <f t="shared" si="37"/>
        <v>17147.491382384476</v>
      </c>
      <c r="F63" s="88"/>
      <c r="G63" s="88">
        <f ca="1">+G61+G62</f>
        <v>5879.5334074931397</v>
      </c>
      <c r="H63" s="88">
        <f ca="1">+H61+H62</f>
        <v>8673.7071333453296</v>
      </c>
      <c r="I63" s="88">
        <f ca="1">+I61+I62</f>
        <v>12004.736697953558</v>
      </c>
      <c r="J63" s="88">
        <f ca="1">+J61+J62</f>
        <v>17651.479899468581</v>
      </c>
      <c r="K63" s="88"/>
      <c r="L63" s="88">
        <f t="shared" ref="L63:M63" ca="1" si="38">+L61+L62</f>
        <v>7729.1367999513022</v>
      </c>
      <c r="M63" s="88">
        <f t="shared" ca="1" si="38"/>
        <v>7729.1367999513022</v>
      </c>
      <c r="O63" s="97" t="str">
        <f t="shared" si="35"/>
        <v>All Undiversified</v>
      </c>
      <c r="P63" s="98">
        <f t="shared" ref="P63:X63" si="39">+P61+P62</f>
        <v>4509.0065043991708</v>
      </c>
      <c r="Q63" s="98">
        <f t="shared" si="39"/>
        <v>4509.0065043991708</v>
      </c>
      <c r="R63" s="98">
        <f t="shared" si="39"/>
        <v>9720.6519702642145</v>
      </c>
      <c r="S63" s="98">
        <f t="shared" si="39"/>
        <v>9720.6519702642145</v>
      </c>
      <c r="T63" s="98"/>
      <c r="U63" s="98">
        <f t="shared" ca="1" si="39"/>
        <v>2938.7747750303861</v>
      </c>
      <c r="V63" s="98">
        <f t="shared" ca="1" si="39"/>
        <v>4221.894810523032</v>
      </c>
      <c r="W63" s="98">
        <f t="shared" ca="1" si="39"/>
        <v>6097.012323358118</v>
      </c>
      <c r="X63" s="88">
        <f t="shared" ca="1" si="39"/>
        <v>8674.5235080306757</v>
      </c>
      <c r="Y63" s="88"/>
      <c r="Z63" s="88">
        <f t="shared" ref="Z63:AA63" ca="1" si="40">+Z61+Z62</f>
        <v>5225.5197017563278</v>
      </c>
      <c r="AA63" s="88">
        <f t="shared" ca="1" si="40"/>
        <v>5225.5197017563278</v>
      </c>
      <c r="AC63" s="97" t="str">
        <f t="shared" si="36"/>
        <v>All Undiversified</v>
      </c>
      <c r="AD63" s="98">
        <f t="shared" si="32"/>
        <v>3202.3375768876522</v>
      </c>
      <c r="AE63" s="98">
        <f t="shared" si="32"/>
        <v>3202.3375768876522</v>
      </c>
      <c r="AF63" s="98">
        <f t="shared" si="32"/>
        <v>7426.8394121202618</v>
      </c>
      <c r="AG63" s="98">
        <f t="shared" si="32"/>
        <v>7426.8394121202618</v>
      </c>
      <c r="AH63" s="98"/>
      <c r="AI63" s="98">
        <f t="shared" ca="1" si="33"/>
        <v>2940.7586324627537</v>
      </c>
      <c r="AJ63" s="98">
        <f t="shared" ca="1" si="33"/>
        <v>4451.8123228222976</v>
      </c>
      <c r="AK63" s="98">
        <f t="shared" ca="1" si="33"/>
        <v>5907.7243745954402</v>
      </c>
      <c r="AL63" s="88">
        <f t="shared" ca="1" si="33"/>
        <v>8976.956391437905</v>
      </c>
      <c r="AM63" s="88"/>
      <c r="AN63" s="88">
        <f t="shared" ca="1" si="34"/>
        <v>2503.6170981949745</v>
      </c>
      <c r="AO63" s="88">
        <f t="shared" ca="1" si="34"/>
        <v>2503.6170981949745</v>
      </c>
    </row>
    <row r="64" spans="1:41" x14ac:dyDescent="0.35">
      <c r="B64" s="5"/>
      <c r="C64" s="5"/>
      <c r="D64" s="5"/>
      <c r="E64" s="5"/>
      <c r="F64" s="5"/>
      <c r="O64" s="78"/>
      <c r="P64" s="92"/>
      <c r="Q64" s="92"/>
      <c r="R64" s="92"/>
      <c r="S64" s="92"/>
      <c r="T64" s="92"/>
      <c r="U64" s="78"/>
      <c r="V64" s="78"/>
      <c r="W64" s="78"/>
      <c r="AC64" s="78"/>
      <c r="AD64" s="92"/>
      <c r="AE64" s="92"/>
      <c r="AF64" s="92"/>
      <c r="AG64" s="92"/>
      <c r="AH64" s="92"/>
      <c r="AI64" s="78"/>
      <c r="AJ64" s="78"/>
      <c r="AK64" s="78"/>
    </row>
    <row r="65" spans="1:41" x14ac:dyDescent="0.35">
      <c r="A65" s="1" t="s">
        <v>103</v>
      </c>
      <c r="B65" s="5"/>
      <c r="C65" s="5"/>
      <c r="D65" s="5"/>
      <c r="E65" s="5"/>
      <c r="F65" s="5"/>
      <c r="O65" s="89" t="str">
        <f>A65</f>
        <v>RA marginal weight</v>
      </c>
      <c r="P65" s="92"/>
      <c r="Q65" s="92"/>
      <c r="R65" s="92"/>
      <c r="S65" s="92"/>
      <c r="T65" s="92"/>
      <c r="U65" s="78"/>
      <c r="V65" s="78"/>
      <c r="W65" s="78"/>
      <c r="AC65" s="89" t="str">
        <f>O65</f>
        <v>RA marginal weight</v>
      </c>
      <c r="AD65" s="92"/>
      <c r="AE65" s="92"/>
      <c r="AF65" s="92"/>
      <c r="AG65" s="92"/>
      <c r="AH65" s="92"/>
      <c r="AI65" s="78"/>
      <c r="AJ65" s="78"/>
      <c r="AK65" s="78"/>
    </row>
    <row r="66" spans="1:41" x14ac:dyDescent="0.35">
      <c r="A66" t="str">
        <f>$A$26</f>
        <v>Long-Tail</v>
      </c>
      <c r="B66" s="5">
        <f>+B21-B62</f>
        <v>5058.131337710458</v>
      </c>
      <c r="C66" s="5">
        <f>+C21-C62</f>
        <v>5058.131337710458</v>
      </c>
      <c r="D66" s="5">
        <f>+D21-D62</f>
        <v>10683.347835326798</v>
      </c>
      <c r="E66" s="5">
        <f>+E21-E62</f>
        <v>10683.347835326798</v>
      </c>
      <c r="F66" s="5"/>
      <c r="G66" s="5">
        <f>+G21-G72</f>
        <v>4625.7362304653352</v>
      </c>
      <c r="H66" s="5">
        <f>+H21-H72</f>
        <v>6685.0810523643886</v>
      </c>
      <c r="I66" s="5">
        <f>+I21-I72</f>
        <v>9251.4724609306704</v>
      </c>
      <c r="J66" s="5">
        <f>+J21-J72</f>
        <v>13370.162104728777</v>
      </c>
      <c r="K66" s="5"/>
      <c r="O66" s="78" t="str">
        <f>A66</f>
        <v>Long-Tail</v>
      </c>
      <c r="P66" s="92">
        <f>+P21-P62</f>
        <v>2466.0850761683614</v>
      </c>
      <c r="Q66" s="92">
        <f>+Q21-Q62</f>
        <v>2466.0850761683614</v>
      </c>
      <c r="R66" s="92">
        <f>+R21-R62</f>
        <v>4740.7549742614392</v>
      </c>
      <c r="S66" s="92">
        <f>+S21-S62</f>
        <v>4740.7549742614392</v>
      </c>
      <c r="T66" s="92"/>
      <c r="U66" s="92">
        <f>+U21-U72</f>
        <v>2073.6857113168189</v>
      </c>
      <c r="V66" s="92">
        <f>+V21-V72</f>
        <v>2862.3835892299676</v>
      </c>
      <c r="W66" s="92">
        <f>+W21-W72</f>
        <v>4147.3714226336378</v>
      </c>
      <c r="X66" s="5">
        <f>+X21-X72</f>
        <v>5724.7671784599352</v>
      </c>
      <c r="Y66" s="5"/>
      <c r="AC66" s="78" t="str">
        <f>O66</f>
        <v>Long-Tail</v>
      </c>
      <c r="AD66" s="92">
        <f t="shared" ref="AD66:AG68" si="41">B66-P66</f>
        <v>2592.0462615420965</v>
      </c>
      <c r="AE66" s="92">
        <f t="shared" si="41"/>
        <v>2592.0462615420965</v>
      </c>
      <c r="AF66" s="92">
        <f t="shared" si="41"/>
        <v>5942.5928610653591</v>
      </c>
      <c r="AG66" s="92">
        <f t="shared" si="41"/>
        <v>5942.5928610653591</v>
      </c>
      <c r="AH66" s="92"/>
      <c r="AI66" s="92">
        <f>AI21-AI72/AI73*AI21</f>
        <v>2557.4647174480842</v>
      </c>
      <c r="AJ66" s="92">
        <f>AJ21-AJ72/AJ73*AJ21</f>
        <v>3831.6267613614309</v>
      </c>
      <c r="AK66" s="92">
        <f>AK21-AK72/AK73*AK21</f>
        <v>5114.9294348961685</v>
      </c>
      <c r="AL66" s="5">
        <f>AL21-AL72/AL73*AL21</f>
        <v>7663.2535227228618</v>
      </c>
      <c r="AM66" s="5"/>
    </row>
    <row r="67" spans="1:41" x14ac:dyDescent="0.35">
      <c r="A67" t="str">
        <f>$A$27</f>
        <v>Short-Tail</v>
      </c>
      <c r="B67" s="5">
        <f>+B21-B61</f>
        <v>697.9526410027247</v>
      </c>
      <c r="C67" s="5">
        <f>+C21-C61</f>
        <v>697.9526410027247</v>
      </c>
      <c r="D67" s="5">
        <f>+D21-D61</f>
        <v>1442.2602422887212</v>
      </c>
      <c r="E67" s="5">
        <f>+E21-E61</f>
        <v>1442.2602422887212</v>
      </c>
      <c r="F67" s="5"/>
      <c r="G67" s="5">
        <f>+G21-G71</f>
        <v>159.12712136147366</v>
      </c>
      <c r="H67" s="5">
        <f>+H21-H71</f>
        <v>216.82794741012822</v>
      </c>
      <c r="I67" s="5">
        <f>+I21-I71</f>
        <v>318.25424272294731</v>
      </c>
      <c r="J67" s="5">
        <f>+J21-J71</f>
        <v>433.65589482025644</v>
      </c>
      <c r="K67" s="5"/>
      <c r="O67" s="78" t="str">
        <f t="shared" ref="O67:O68" si="42">A67</f>
        <v>Short-Tail</v>
      </c>
      <c r="P67" s="92">
        <f>+P21-P61</f>
        <v>638.01087943246239</v>
      </c>
      <c r="Q67" s="92">
        <f>+Q21-Q61</f>
        <v>638.01087943246239</v>
      </c>
      <c r="R67" s="92">
        <f>+R21-R61</f>
        <v>1345.2260354743412</v>
      </c>
      <c r="S67" s="92">
        <f>+S21-S61</f>
        <v>1345.2260354743412</v>
      </c>
      <c r="T67" s="92"/>
      <c r="U67" s="92">
        <f>+U21-U71</f>
        <v>169.51302997385574</v>
      </c>
      <c r="V67" s="92">
        <f>+V21-V71</f>
        <v>244.08080701234121</v>
      </c>
      <c r="W67" s="92">
        <f>+W21-W71</f>
        <v>339.02605994771147</v>
      </c>
      <c r="X67" s="5">
        <f>+X21-X71</f>
        <v>488.16161402468242</v>
      </c>
      <c r="Y67" s="5"/>
      <c r="AC67" s="78" t="str">
        <f t="shared" ref="AC67:AC68" si="43">O67</f>
        <v>Short-Tail</v>
      </c>
      <c r="AD67" s="92">
        <f t="shared" si="41"/>
        <v>59.941761570262315</v>
      </c>
      <c r="AE67" s="92">
        <f t="shared" si="41"/>
        <v>59.941761570262315</v>
      </c>
      <c r="AF67" s="92">
        <f t="shared" si="41"/>
        <v>97.034206814380013</v>
      </c>
      <c r="AG67" s="92">
        <f t="shared" si="41"/>
        <v>97.034206814380013</v>
      </c>
      <c r="AH67" s="92"/>
      <c r="AI67" s="92">
        <f>AI21-AI71/AI73*AI21</f>
        <v>112.59324139958153</v>
      </c>
      <c r="AJ67" s="92">
        <f>AJ21-AJ71/AJ73*AJ21</f>
        <v>171.84437015379535</v>
      </c>
      <c r="AK67" s="92">
        <f>AK21-AK71/AK73*AK21</f>
        <v>225.18648279916306</v>
      </c>
      <c r="AL67" s="5">
        <f>AL21-AL71/AL73*AL21</f>
        <v>343.68874030759071</v>
      </c>
      <c r="AM67" s="5"/>
    </row>
    <row r="68" spans="1:41" x14ac:dyDescent="0.35">
      <c r="A68" s="87" t="s">
        <v>102</v>
      </c>
      <c r="B68" s="88">
        <f>+B66+B67</f>
        <v>5756.0839787131827</v>
      </c>
      <c r="C68" s="88">
        <f>+C66+C67</f>
        <v>5756.0839787131827</v>
      </c>
      <c r="D68" s="88">
        <f>+D66+D67</f>
        <v>12125.60807761552</v>
      </c>
      <c r="E68" s="88">
        <f>+E66+E67</f>
        <v>12125.60807761552</v>
      </c>
      <c r="F68" s="88"/>
      <c r="G68" s="88">
        <f>+G66+G67</f>
        <v>4784.8633518268089</v>
      </c>
      <c r="H68" s="88">
        <f t="shared" ref="H68:J68" si="44">+H66+H67</f>
        <v>6901.9089997745168</v>
      </c>
      <c r="I68" s="88">
        <f t="shared" si="44"/>
        <v>9569.7267036536177</v>
      </c>
      <c r="J68" s="88">
        <f t="shared" si="44"/>
        <v>13803.817999549034</v>
      </c>
      <c r="K68" s="88"/>
      <c r="L68" s="87"/>
      <c r="M68" s="87"/>
      <c r="O68" s="97" t="str">
        <f t="shared" si="42"/>
        <v xml:space="preserve">All </v>
      </c>
      <c r="P68" s="98">
        <f>+P66+P67</f>
        <v>3104.0959556008238</v>
      </c>
      <c r="Q68" s="98">
        <f>+Q66+Q67</f>
        <v>3104.0959556008238</v>
      </c>
      <c r="R68" s="98">
        <f>+R66+R67</f>
        <v>6085.9810097357804</v>
      </c>
      <c r="S68" s="98">
        <f>+S66+S67</f>
        <v>6085.9810097357804</v>
      </c>
      <c r="T68" s="98"/>
      <c r="U68" s="98">
        <f>+U66+U67</f>
        <v>2243.1987412906747</v>
      </c>
      <c r="V68" s="98">
        <f t="shared" ref="V68:X68" si="45">+V66+V67</f>
        <v>3106.4643962423088</v>
      </c>
      <c r="W68" s="98">
        <f t="shared" si="45"/>
        <v>4486.3974825813493</v>
      </c>
      <c r="X68" s="88">
        <f t="shared" si="45"/>
        <v>6212.9287924846176</v>
      </c>
      <c r="Y68" s="88"/>
      <c r="Z68" s="87"/>
      <c r="AA68" s="87"/>
      <c r="AC68" s="97" t="str">
        <f t="shared" si="43"/>
        <v xml:space="preserve">All </v>
      </c>
      <c r="AD68" s="98">
        <f t="shared" si="41"/>
        <v>2651.9880231123589</v>
      </c>
      <c r="AE68" s="98">
        <f t="shared" si="41"/>
        <v>2651.9880231123589</v>
      </c>
      <c r="AF68" s="98">
        <f t="shared" si="41"/>
        <v>6039.6270678797391</v>
      </c>
      <c r="AG68" s="98">
        <f t="shared" si="41"/>
        <v>6039.6270678797391</v>
      </c>
      <c r="AH68" s="98"/>
      <c r="AI68" s="98">
        <f>+AI66+AI67</f>
        <v>2670.0579588476658</v>
      </c>
      <c r="AJ68" s="98">
        <f t="shared" ref="AJ68:AL68" si="46">+AJ66+AJ67</f>
        <v>4003.4711315152263</v>
      </c>
      <c r="AK68" s="98">
        <f t="shared" si="46"/>
        <v>5340.1159176953315</v>
      </c>
      <c r="AL68" s="88">
        <f t="shared" si="46"/>
        <v>8006.9422630304525</v>
      </c>
      <c r="AM68" s="88"/>
      <c r="AN68" s="87"/>
      <c r="AO68" s="87"/>
    </row>
    <row r="69" spans="1:41" x14ac:dyDescent="0.35">
      <c r="B69" s="5"/>
      <c r="C69" s="5"/>
      <c r="D69" s="5"/>
      <c r="E69" s="5"/>
      <c r="F69" s="5"/>
      <c r="O69" s="78"/>
      <c r="P69" s="92"/>
      <c r="Q69" s="92"/>
      <c r="R69" s="92"/>
      <c r="S69" s="92"/>
      <c r="T69" s="92"/>
      <c r="U69" s="78"/>
      <c r="V69" s="78"/>
      <c r="W69" s="78"/>
      <c r="AC69" s="78"/>
      <c r="AD69" s="92"/>
      <c r="AE69" s="92"/>
      <c r="AF69" s="92"/>
      <c r="AG69" s="92"/>
      <c r="AH69" s="92"/>
      <c r="AI69" s="78"/>
      <c r="AJ69" s="78"/>
      <c r="AK69" s="78"/>
    </row>
    <row r="70" spans="1:41" x14ac:dyDescent="0.35">
      <c r="A70" s="1" t="s">
        <v>108</v>
      </c>
      <c r="B70" s="5"/>
      <c r="C70" s="5"/>
      <c r="D70" s="5"/>
      <c r="E70" s="5"/>
      <c r="F70" s="5"/>
      <c r="O70" s="89" t="str">
        <f>A70</f>
        <v>RA based on Cost of Capital</v>
      </c>
      <c r="P70" s="92"/>
      <c r="Q70" s="92"/>
      <c r="R70" s="92"/>
      <c r="S70" s="92"/>
      <c r="T70" s="92"/>
      <c r="U70" s="78"/>
      <c r="V70" s="78"/>
      <c r="W70" s="78"/>
      <c r="AC70" s="89" t="str">
        <f>O70</f>
        <v>RA based on Cost of Capital</v>
      </c>
      <c r="AD70" s="92"/>
      <c r="AE70" s="92"/>
      <c r="AF70" s="92"/>
      <c r="AG70" s="92"/>
      <c r="AH70" s="92"/>
      <c r="AI70" s="78"/>
      <c r="AJ70" s="78"/>
      <c r="AK70" s="78"/>
    </row>
    <row r="71" spans="1:41" x14ac:dyDescent="0.35">
      <c r="A71" t="str">
        <f>$A$26</f>
        <v>Long-Tail</v>
      </c>
      <c r="G71" s="5">
        <f>+G16*VLOOKUP(G17,Confidence_tbl_Gross,3)*SUMPRODUCT(Remaining_FCF_Gross,Discount_Factor)</f>
        <v>5056.6463075996062</v>
      </c>
      <c r="H71" s="5">
        <f>+H16*VLOOKUP(H17,Confidence_tbl_Gross,3)*SUMPRODUCT(Remaining_FCF_Gross,Discount_Factor)</f>
        <v>7372.1214468582866</v>
      </c>
      <c r="I71" s="5">
        <f>+I16*VLOOKUP(I17,Confidence_tbl_Gross,3)*SUMPRODUCT(Remaining_FCF_Gross,Discount_Factor)</f>
        <v>10113.292615199212</v>
      </c>
      <c r="J71" s="5">
        <f>+J16*VLOOKUP(J17,Confidence_tbl_Gross,3)*SUMPRODUCT(Remaining_FCF_Gross,Discount_Factor)</f>
        <v>14744.242893716573</v>
      </c>
      <c r="K71" s="5"/>
      <c r="O71" s="78" t="str">
        <f>A71</f>
        <v>Long-Tail</v>
      </c>
      <c r="P71" s="78"/>
      <c r="Q71" s="78"/>
      <c r="R71" s="78"/>
      <c r="S71" s="78"/>
      <c r="T71" s="78"/>
      <c r="U71" s="92">
        <f>+U16*VLOOKUP(U17,Confidence_tbl_Net,3)*SUMPRODUCT(Remaining_FCF_Net,Discount_Factor)</f>
        <v>2376.2024401395583</v>
      </c>
      <c r="V71" s="92">
        <f>+V16*VLOOKUP(V17,Confidence_tbl_Net,3)*SUMPRODUCT(Remaining_FCF_Net,Discount_Factor)</f>
        <v>3341.3974557408465</v>
      </c>
      <c r="W71" s="92">
        <f>+W16*VLOOKUP(W17,Confidence_tbl_Net,3)*SUMPRODUCT(Remaining_FCF_Net,Discount_Factor)</f>
        <v>4752.4048802791167</v>
      </c>
      <c r="X71" s="92">
        <f>+X16*VLOOKUP(X17,Confidence_tbl_Net,3)*SUMPRODUCT(Remaining_FCF_Net,Discount_Factor)</f>
        <v>6682.7949114816929</v>
      </c>
      <c r="Y71" s="5"/>
      <c r="AC71" s="78" t="str">
        <f>O71</f>
        <v>Long-Tail</v>
      </c>
      <c r="AD71" s="78"/>
      <c r="AE71" s="78"/>
      <c r="AF71" s="78"/>
      <c r="AG71" s="78"/>
      <c r="AH71" s="78"/>
      <c r="AI71" s="92">
        <f t="shared" ref="AI71:AL73" si="47">G71-U71</f>
        <v>2680.4438674600478</v>
      </c>
      <c r="AJ71" s="92">
        <f t="shared" si="47"/>
        <v>4030.7239911174402</v>
      </c>
      <c r="AK71" s="92">
        <f t="shared" si="47"/>
        <v>5360.8877349200957</v>
      </c>
      <c r="AL71" s="5">
        <f t="shared" si="47"/>
        <v>8061.4479822348803</v>
      </c>
      <c r="AM71" s="5"/>
    </row>
    <row r="72" spans="1:41" x14ac:dyDescent="0.35">
      <c r="A72" t="str">
        <f>$A$27</f>
        <v>Short-Tail</v>
      </c>
      <c r="G72" s="5">
        <f>+G16*VLOOKUP(G17,Short_Tail!Confidence_tbl_Gross,3)*SUMPRODUCT(Short_Tail!Remaining_FCF_Gross,Discount_Factor)</f>
        <v>590.03719849574452</v>
      </c>
      <c r="H72" s="5">
        <f>+H16*VLOOKUP(H17,Short_Tail!Confidence_tbl_Gross,3)*SUMPRODUCT(Short_Tail!Remaining_FCF_Gross,Discount_Factor)</f>
        <v>903.8683419040259</v>
      </c>
      <c r="I72" s="5">
        <f>+I16*VLOOKUP(I17,Short_Tail!Confidence_tbl_Gross,3)*SUMPRODUCT(Short_Tail!Remaining_FCF_Gross,Discount_Factor)</f>
        <v>1180.074396991489</v>
      </c>
      <c r="J72" s="5">
        <f>+J16*VLOOKUP(J17,Short_Tail!Confidence_tbl_Gross,3)*SUMPRODUCT(Short_Tail!Remaining_FCF_Gross,Discount_Factor)</f>
        <v>1807.7366838080518</v>
      </c>
      <c r="K72" s="5"/>
      <c r="O72" s="78" t="str">
        <f t="shared" ref="O72:O73" si="48">A72</f>
        <v>Short-Tail</v>
      </c>
      <c r="P72" s="78"/>
      <c r="Q72" s="78"/>
      <c r="R72" s="78"/>
      <c r="S72" s="78"/>
      <c r="T72" s="78"/>
      <c r="U72" s="92">
        <f>+U16*VLOOKUP(U17,Short_Tail!Confidence_tbl_Net,3)*SUMPRODUCT(Short_Tail!Remaining_FCF_Net,Discount_Factor)</f>
        <v>472.02975879659516</v>
      </c>
      <c r="V72" s="92">
        <f>+V16*VLOOKUP(V17,Short_Tail!Confidence_tbl_Net,3)*SUMPRODUCT(Short_Tail!Remaining_FCF_Net,Discount_Factor)</f>
        <v>723.09467352322019</v>
      </c>
      <c r="W72" s="92">
        <f>+W16*VLOOKUP(W17,Short_Tail!Confidence_tbl_Net,3)*SUMPRODUCT(Short_Tail!Remaining_FCF_Net,Discount_Factor)</f>
        <v>944.05951759319032</v>
      </c>
      <c r="X72" s="92">
        <f>+X16*VLOOKUP(X17,Short_Tail!Confidence_tbl_Net,3)*SUMPRODUCT(Short_Tail!Remaining_FCF_Net,Discount_Factor)</f>
        <v>1446.1893470464404</v>
      </c>
      <c r="Y72" s="5"/>
      <c r="AC72" s="78" t="str">
        <f t="shared" ref="AC72:AC73" si="49">O72</f>
        <v>Short-Tail</v>
      </c>
      <c r="AD72" s="78"/>
      <c r="AE72" s="78"/>
      <c r="AF72" s="78"/>
      <c r="AG72" s="78"/>
      <c r="AH72" s="78"/>
      <c r="AI72" s="92">
        <f t="shared" si="47"/>
        <v>118.00743969914936</v>
      </c>
      <c r="AJ72" s="92">
        <f t="shared" si="47"/>
        <v>180.7736683808057</v>
      </c>
      <c r="AK72" s="92">
        <f t="shared" si="47"/>
        <v>236.01487939829872</v>
      </c>
      <c r="AL72" s="5">
        <f t="shared" si="47"/>
        <v>361.5473367616114</v>
      </c>
      <c r="AM72" s="5"/>
    </row>
    <row r="73" spans="1:41" x14ac:dyDescent="0.35">
      <c r="A73" s="87" t="s">
        <v>109</v>
      </c>
      <c r="B73" s="87"/>
      <c r="C73" s="87"/>
      <c r="D73" s="87"/>
      <c r="E73" s="87"/>
      <c r="F73" s="87"/>
      <c r="G73" s="88">
        <f>+G71+G72</f>
        <v>5646.6835060953508</v>
      </c>
      <c r="H73" s="88">
        <f t="shared" ref="H73:J73" si="50">+H71+H72</f>
        <v>8275.9897887623119</v>
      </c>
      <c r="I73" s="88">
        <f t="shared" si="50"/>
        <v>11293.367012190702</v>
      </c>
      <c r="J73" s="88">
        <f t="shared" si="50"/>
        <v>16551.979577524624</v>
      </c>
      <c r="K73" s="88"/>
      <c r="L73" s="87"/>
      <c r="M73" s="87"/>
      <c r="O73" s="97" t="str">
        <f t="shared" si="48"/>
        <v>Total</v>
      </c>
      <c r="P73" s="97"/>
      <c r="Q73" s="97"/>
      <c r="R73" s="97"/>
      <c r="S73" s="97"/>
      <c r="T73" s="97"/>
      <c r="U73" s="98">
        <f>+U71+U72</f>
        <v>2848.2321989361535</v>
      </c>
      <c r="V73" s="98">
        <f t="shared" ref="V73:X73" si="51">+V71+V72</f>
        <v>4064.4921292640665</v>
      </c>
      <c r="W73" s="98">
        <f t="shared" si="51"/>
        <v>5696.464397872307</v>
      </c>
      <c r="X73" s="88">
        <f t="shared" si="51"/>
        <v>8128.9842585281331</v>
      </c>
      <c r="Y73" s="88"/>
      <c r="Z73" s="87"/>
      <c r="AA73" s="87"/>
      <c r="AC73" s="97" t="str">
        <f t="shared" si="49"/>
        <v>Total</v>
      </c>
      <c r="AD73" s="97"/>
      <c r="AE73" s="97"/>
      <c r="AF73" s="97"/>
      <c r="AG73" s="97"/>
      <c r="AH73" s="97"/>
      <c r="AI73" s="98">
        <f t="shared" si="47"/>
        <v>2798.4513071591973</v>
      </c>
      <c r="AJ73" s="98">
        <f t="shared" si="47"/>
        <v>4211.4976594982454</v>
      </c>
      <c r="AK73" s="98">
        <f t="shared" si="47"/>
        <v>5596.9026143183946</v>
      </c>
      <c r="AL73" s="88">
        <f t="shared" si="47"/>
        <v>8422.9953189964908</v>
      </c>
      <c r="AM73" s="88"/>
      <c r="AN73" s="87"/>
      <c r="AO73" s="87"/>
    </row>
    <row r="74" spans="1:41" x14ac:dyDescent="0.35">
      <c r="G74" s="5"/>
      <c r="H74" s="5"/>
      <c r="I74" s="5"/>
      <c r="J74" s="5"/>
      <c r="K74" s="5"/>
      <c r="U74" s="5"/>
      <c r="V74" s="5"/>
      <c r="W74" s="5"/>
      <c r="X74" s="5"/>
      <c r="Y74" s="5"/>
      <c r="AI74" s="5"/>
      <c r="AJ74" s="5"/>
      <c r="AK74" s="5"/>
      <c r="AL74" s="5"/>
      <c r="AM74" s="5"/>
    </row>
    <row r="75" spans="1:41" x14ac:dyDescent="0.35">
      <c r="G75" s="5"/>
      <c r="H75" s="5"/>
      <c r="I75" s="5"/>
      <c r="J75" s="5"/>
      <c r="K75" s="5"/>
      <c r="U75" s="5"/>
      <c r="V75" s="5"/>
      <c r="W75" s="5"/>
      <c r="X75" s="5"/>
      <c r="Y75" s="5"/>
      <c r="AI75" s="5"/>
      <c r="AJ75" s="5"/>
      <c r="AK75" s="5"/>
      <c r="AL75" s="5"/>
      <c r="AM75" s="5"/>
    </row>
    <row r="76" spans="1:41" x14ac:dyDescent="0.35">
      <c r="G76" s="5"/>
      <c r="H76" s="5"/>
      <c r="I76" s="5"/>
      <c r="J76" s="5"/>
      <c r="K76" s="5"/>
      <c r="U76" s="5"/>
      <c r="V76" s="5"/>
      <c r="W76" s="5"/>
      <c r="X76" s="5"/>
      <c r="Y76" s="5"/>
      <c r="AI76" s="5"/>
      <c r="AJ76" s="5"/>
      <c r="AK76" s="5"/>
      <c r="AL76" s="5"/>
      <c r="AM76" s="5"/>
    </row>
  </sheetData>
  <mergeCells count="1">
    <mergeCell ref="AD14:AO19"/>
  </mergeCells>
  <printOptions horizontalCentered="1"/>
  <pageMargins left="0.7" right="0.7" top="0.75" bottom="0.75" header="0.3" footer="0.3"/>
  <pageSetup scale="66" fitToHeight="0" orientation="portrait" blackAndWhite="1" r:id="rId1"/>
  <colBreaks count="1" manualBreakCount="1">
    <brk id="13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C87"/>
  <sheetViews>
    <sheetView view="pageBreakPreview" topLeftCell="B45" zoomScaleNormal="70" zoomScaleSheetLayoutView="100" workbookViewId="0">
      <selection activeCell="B50" sqref="B50"/>
    </sheetView>
  </sheetViews>
  <sheetFormatPr defaultRowHeight="14.5" x14ac:dyDescent="0.35"/>
  <cols>
    <col min="2" max="2" width="35.453125" customWidth="1"/>
    <col min="3" max="3" width="10.7265625" customWidth="1"/>
    <col min="4" max="4" width="13.453125" customWidth="1"/>
    <col min="5" max="5" width="12.453125" customWidth="1"/>
    <col min="6" max="7" width="10.7265625" customWidth="1"/>
    <col min="8" max="8" width="13" customWidth="1"/>
    <col min="9" max="14" width="10.7265625" customWidth="1"/>
    <col min="15" max="15" width="2.7265625" customWidth="1"/>
    <col min="17" max="17" width="36.1796875" customWidth="1"/>
    <col min="18" max="18" width="10.7265625" customWidth="1"/>
    <col min="19" max="19" width="14.26953125" customWidth="1"/>
    <col min="20" max="20" width="12.7265625" customWidth="1"/>
    <col min="21" max="22" width="10.7265625" customWidth="1"/>
    <col min="23" max="23" width="12.26953125" customWidth="1"/>
    <col min="24" max="29" width="10.7265625" customWidth="1"/>
  </cols>
  <sheetData>
    <row r="1" spans="1:29" x14ac:dyDescent="0.35">
      <c r="A1" s="55" t="str">
        <f>Info_Title</f>
        <v>IFRS 17 Risk Adjustment for Non-Financial Risk for Property and Casualty Actuaries</v>
      </c>
      <c r="N1" s="58">
        <v>2</v>
      </c>
      <c r="P1" s="55" t="str">
        <f>A1</f>
        <v>IFRS 17 Risk Adjustment for Non-Financial Risk for Property and Casualty Actuaries</v>
      </c>
      <c r="AC1" s="58">
        <f>N1</f>
        <v>2</v>
      </c>
    </row>
    <row r="2" spans="1:29" x14ac:dyDescent="0.35">
      <c r="A2" s="56" t="str">
        <f>Info_Project</f>
        <v>Illustrative Examples of Risk Adjustment Approach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9">
        <v>1</v>
      </c>
      <c r="P2" s="56" t="str">
        <f t="shared" ref="P2:P3" si="0">A2</f>
        <v>Illustrative Examples of Risk Adjustment Approach</v>
      </c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9">
        <f>N43+1</f>
        <v>3</v>
      </c>
    </row>
    <row r="3" spans="1:29" ht="18.5" x14ac:dyDescent="0.45">
      <c r="A3" s="33" t="s">
        <v>48</v>
      </c>
      <c r="P3" s="33" t="str">
        <f t="shared" si="0"/>
        <v xml:space="preserve">Portfolio 1: Long-Tail </v>
      </c>
    </row>
    <row r="4" spans="1:29" ht="18.5" x14ac:dyDescent="0.45">
      <c r="A4" s="60" t="str">
        <f>info_Gross&amp;" in "&amp;Info_DollarUnit</f>
        <v>Gross of Reinsurance in (000)</v>
      </c>
      <c r="P4" s="60" t="str">
        <f>info_Net&amp;" in "&amp;Info_DollarUnit</f>
        <v>Net of Reinsurance in (000)</v>
      </c>
    </row>
    <row r="6" spans="1:29" x14ac:dyDescent="0.35">
      <c r="A6" s="1" t="s">
        <v>22</v>
      </c>
      <c r="G6" s="1" t="s">
        <v>91</v>
      </c>
      <c r="M6" s="1"/>
      <c r="P6" s="1" t="s">
        <v>22</v>
      </c>
      <c r="V6" s="1" t="s">
        <v>91</v>
      </c>
    </row>
    <row r="8" spans="1:29" x14ac:dyDescent="0.35">
      <c r="A8" s="1"/>
      <c r="D8" s="12" t="s">
        <v>52</v>
      </c>
      <c r="G8" s="10" t="s">
        <v>59</v>
      </c>
      <c r="H8" s="113" t="s">
        <v>35</v>
      </c>
      <c r="I8" s="113" t="s">
        <v>25</v>
      </c>
      <c r="J8" s="113" t="s">
        <v>16</v>
      </c>
      <c r="P8" s="1"/>
      <c r="S8" s="12" t="s">
        <v>52</v>
      </c>
      <c r="V8" s="10" t="s">
        <v>59</v>
      </c>
      <c r="W8" s="113" t="s">
        <v>35</v>
      </c>
      <c r="X8" s="113" t="s">
        <v>25</v>
      </c>
      <c r="Y8" s="113" t="s">
        <v>16</v>
      </c>
    </row>
    <row r="9" spans="1:29" x14ac:dyDescent="0.35">
      <c r="C9" s="12" t="s">
        <v>17</v>
      </c>
      <c r="D9" s="12" t="s">
        <v>53</v>
      </c>
      <c r="H9" s="114"/>
      <c r="I9" s="114"/>
      <c r="J9" s="114"/>
      <c r="R9" s="12" t="s">
        <v>17</v>
      </c>
      <c r="S9" s="12" t="s">
        <v>53</v>
      </c>
      <c r="W9" s="114"/>
      <c r="X9" s="114"/>
      <c r="Y9" s="114"/>
    </row>
    <row r="10" spans="1:29" x14ac:dyDescent="0.35">
      <c r="A10" s="10" t="s">
        <v>54</v>
      </c>
      <c r="B10" t="s">
        <v>88</v>
      </c>
      <c r="C10" s="15">
        <v>50000</v>
      </c>
      <c r="D10" s="16">
        <f>EXP(Lognormal_Mu_Gross+(Lognormal_Sigma_Gross^2)/2)</f>
        <v>50000.000000000007</v>
      </c>
      <c r="G10" s="10"/>
      <c r="H10" s="13">
        <v>0.05</v>
      </c>
      <c r="I10" s="19">
        <f>LOGINV(H10,Lognormal_Mu_Gross,Lognormal_Sigma_Gross)</f>
        <v>35398.244098631447</v>
      </c>
      <c r="J10" s="29">
        <f>I10-Implied_Mean_Gross</f>
        <v>-14601.75590136856</v>
      </c>
      <c r="P10" s="10" t="s">
        <v>54</v>
      </c>
      <c r="Q10" t="s">
        <v>88</v>
      </c>
      <c r="R10" s="15">
        <v>40000</v>
      </c>
      <c r="S10" s="16">
        <f>EXP(Lognormal_Mu_Net+(Lognormal_Sigma_Net^2)/2)</f>
        <v>39999.999999999971</v>
      </c>
      <c r="V10" s="10"/>
      <c r="W10" s="13">
        <v>0.05</v>
      </c>
      <c r="X10" s="19">
        <f t="shared" ref="X10:X31" si="1">LOGINV(W10,Lognormal_Mu_Net,Lognormal_Sigma_Net)</f>
        <v>32340.395445396098</v>
      </c>
      <c r="Y10" s="29">
        <f t="shared" ref="Y10:Y31" si="2">X10-Implied_Mean_Net</f>
        <v>-7659.6045546038731</v>
      </c>
    </row>
    <row r="11" spans="1:29" x14ac:dyDescent="0.35">
      <c r="A11" s="10" t="s">
        <v>55</v>
      </c>
      <c r="B11" t="s">
        <v>89</v>
      </c>
      <c r="C11" s="15">
        <v>10000</v>
      </c>
      <c r="D11" s="16">
        <f>SQRT(EXP(2*Lognormal_Mu_Gross+((2*Lognormal_Sigma_Gross)^2)/2)-D10^2)</f>
        <v>9999.9999999999054</v>
      </c>
      <c r="F11" s="7"/>
      <c r="H11" s="13">
        <v>0.1</v>
      </c>
      <c r="I11" s="19">
        <f t="shared" ref="I11:I29" si="3">LOGINV(H11,Lognormal_Mu_Gross,Lognormal_Sigma_Gross)</f>
        <v>38038.977466684009</v>
      </c>
      <c r="J11" s="29">
        <f t="shared" ref="J11:J31" si="4">I11-Implied_Mean_Gross</f>
        <v>-11961.022533315998</v>
      </c>
      <c r="P11" s="10" t="s">
        <v>55</v>
      </c>
      <c r="Q11" t="s">
        <v>89</v>
      </c>
      <c r="R11" s="15">
        <v>5000</v>
      </c>
      <c r="S11" s="16">
        <f>SQRT(EXP(2*Lognormal_Mu_Net+((2*Lognormal_Sigma_Net)^2)/2)-S10^2)</f>
        <v>5000.0000000002865</v>
      </c>
      <c r="U11" s="7"/>
      <c r="W11" s="13">
        <v>0.1</v>
      </c>
      <c r="X11" s="19">
        <f t="shared" si="1"/>
        <v>33836.967968506469</v>
      </c>
      <c r="Y11" s="29">
        <f t="shared" si="2"/>
        <v>-6163.0320314935016</v>
      </c>
    </row>
    <row r="12" spans="1:29" x14ac:dyDescent="0.35">
      <c r="A12" s="10" t="s">
        <v>56</v>
      </c>
      <c r="B12" t="s">
        <v>90</v>
      </c>
      <c r="C12" s="21">
        <f>C11/C10</f>
        <v>0.2</v>
      </c>
      <c r="D12" s="21">
        <f>ROUND(D11/D10,5)</f>
        <v>0.2</v>
      </c>
      <c r="H12" s="13">
        <v>0.15</v>
      </c>
      <c r="I12" s="19">
        <f t="shared" si="3"/>
        <v>39931.085260891523</v>
      </c>
      <c r="J12" s="29">
        <f t="shared" si="4"/>
        <v>-10068.914739108484</v>
      </c>
      <c r="P12" s="10" t="s">
        <v>56</v>
      </c>
      <c r="Q12" t="s">
        <v>90</v>
      </c>
      <c r="R12" s="21">
        <f>R11/R10</f>
        <v>0.125</v>
      </c>
      <c r="S12" s="21">
        <f>ROUND(S11/S10,5)</f>
        <v>0.125</v>
      </c>
      <c r="W12" s="13">
        <v>0.15</v>
      </c>
      <c r="X12" s="19">
        <f t="shared" si="1"/>
        <v>34885.630800885941</v>
      </c>
      <c r="Y12" s="29">
        <f t="shared" si="2"/>
        <v>-5114.3691991140295</v>
      </c>
    </row>
    <row r="13" spans="1:29" x14ac:dyDescent="0.35">
      <c r="C13" s="12"/>
      <c r="D13" s="12"/>
      <c r="H13" s="13">
        <v>0.2</v>
      </c>
      <c r="I13" s="19">
        <f t="shared" si="3"/>
        <v>41501.772112110222</v>
      </c>
      <c r="J13" s="29">
        <f t="shared" si="4"/>
        <v>-8498.2278878897851</v>
      </c>
      <c r="R13" s="12"/>
      <c r="S13" s="12"/>
      <c r="W13" s="13">
        <v>0.2</v>
      </c>
      <c r="X13" s="19">
        <f t="shared" si="1"/>
        <v>35742.205328555254</v>
      </c>
      <c r="Y13" s="29">
        <f t="shared" si="2"/>
        <v>-4257.7946714447171</v>
      </c>
    </row>
    <row r="14" spans="1:29" x14ac:dyDescent="0.35">
      <c r="A14" t="s">
        <v>77</v>
      </c>
      <c r="C14" s="12"/>
      <c r="D14" s="12"/>
      <c r="H14" s="13">
        <v>0.25</v>
      </c>
      <c r="I14" s="19">
        <f t="shared" si="3"/>
        <v>42898.429400446315</v>
      </c>
      <c r="J14" s="29">
        <f t="shared" si="4"/>
        <v>-7101.5705995536919</v>
      </c>
      <c r="P14" t="s">
        <v>77</v>
      </c>
      <c r="R14" s="12"/>
      <c r="S14" s="12"/>
      <c r="W14" s="13">
        <v>0.25</v>
      </c>
      <c r="X14" s="19">
        <f t="shared" si="1"/>
        <v>36493.812452102051</v>
      </c>
      <c r="Y14" s="29">
        <f t="shared" si="2"/>
        <v>-3506.18754789792</v>
      </c>
    </row>
    <row r="15" spans="1:29" x14ac:dyDescent="0.35">
      <c r="A15" t="str">
        <f>A10&amp;"-"&amp;A11&amp;" Data are judgementally selected;"</f>
        <v>(1a)-(1b) Data are judgementally selected;</v>
      </c>
      <c r="C15" s="12"/>
      <c r="D15" s="12"/>
      <c r="H15" s="13">
        <v>0.3</v>
      </c>
      <c r="I15" s="19">
        <f t="shared" si="3"/>
        <v>44192.682337635575</v>
      </c>
      <c r="J15" s="29">
        <f t="shared" si="4"/>
        <v>-5807.3176623644322</v>
      </c>
      <c r="P15" t="str">
        <f>P10&amp;"-"&amp;P11&amp;" Data are judgementally selected;"</f>
        <v>(1a)-(1b) Data are judgementally selected;</v>
      </c>
      <c r="R15" s="12"/>
      <c r="S15" s="12"/>
      <c r="W15" s="13">
        <v>0.3</v>
      </c>
      <c r="X15" s="19">
        <f t="shared" si="1"/>
        <v>37182.239225458317</v>
      </c>
      <c r="Y15" s="29">
        <f t="shared" si="2"/>
        <v>-2817.7607745416535</v>
      </c>
    </row>
    <row r="16" spans="1:29" x14ac:dyDescent="0.35">
      <c r="A16" s="101" t="str">
        <f>"Implied from selected are derived from selected parameters in "&amp;A22&amp;" and "&amp;A23&amp;"."</f>
        <v>Implied from selected are derived from selected parameters in (2a) and (2b).</v>
      </c>
      <c r="H16" s="13">
        <v>0.35</v>
      </c>
      <c r="I16" s="19">
        <f t="shared" si="3"/>
        <v>45426.831642388039</v>
      </c>
      <c r="J16" s="29">
        <f t="shared" si="4"/>
        <v>-4573.1683576119685</v>
      </c>
      <c r="P16" s="101" t="str">
        <f>"Implied from selected are derived from selected parameters in "&amp;P22&amp;" and "&amp;P23&amp;"."</f>
        <v>Implied from selected are derived from selected parameters in (2a) and (2b).</v>
      </c>
      <c r="W16" s="13">
        <v>0.35</v>
      </c>
      <c r="X16" s="19">
        <f t="shared" si="1"/>
        <v>37831.75659518606</v>
      </c>
      <c r="Y16" s="29">
        <f t="shared" si="2"/>
        <v>-2168.2434048139112</v>
      </c>
    </row>
    <row r="17" spans="1:25" x14ac:dyDescent="0.35">
      <c r="A17" t="str">
        <f>A12&amp;" = ["&amp;A11&amp;"/"&amp;A10&amp;"]"</f>
        <v>(1c) = [(1b)/(1a)]</v>
      </c>
      <c r="C17" s="12"/>
      <c r="D17" s="12"/>
      <c r="H17" s="13">
        <v>0.4</v>
      </c>
      <c r="I17" s="19">
        <f t="shared" si="3"/>
        <v>46629.772457921645</v>
      </c>
      <c r="J17" s="29">
        <f t="shared" si="4"/>
        <v>-3370.2275420783626</v>
      </c>
      <c r="P17" t="str">
        <f>P12&amp;" = ["&amp;P11&amp;"/"&amp;P10&amp;"]"</f>
        <v>(1c) = [(1b)/(1a)]</v>
      </c>
      <c r="R17" s="12"/>
      <c r="S17" s="12"/>
      <c r="W17" s="13">
        <v>0.4</v>
      </c>
      <c r="X17" s="19">
        <f t="shared" si="1"/>
        <v>38458.573211933304</v>
      </c>
      <c r="Y17" s="29">
        <f t="shared" si="2"/>
        <v>-1541.4267880666666</v>
      </c>
    </row>
    <row r="18" spans="1:25" x14ac:dyDescent="0.35">
      <c r="C18" s="12"/>
      <c r="D18" s="12"/>
      <c r="H18" s="13">
        <v>0.45</v>
      </c>
      <c r="I18" s="19">
        <f t="shared" si="3"/>
        <v>47823.942308464553</v>
      </c>
      <c r="J18" s="29">
        <f t="shared" si="4"/>
        <v>-2176.0576915354541</v>
      </c>
      <c r="R18" s="12"/>
      <c r="S18" s="12"/>
      <c r="W18" s="13">
        <v>0.45</v>
      </c>
      <c r="X18" s="19">
        <f t="shared" si="1"/>
        <v>39074.908578397088</v>
      </c>
      <c r="Y18" s="29">
        <f t="shared" si="2"/>
        <v>-925.0914216028832</v>
      </c>
    </row>
    <row r="19" spans="1:25" x14ac:dyDescent="0.35">
      <c r="A19" s="1" t="s">
        <v>23</v>
      </c>
      <c r="C19" s="12"/>
      <c r="D19" s="12"/>
      <c r="H19" s="13">
        <v>0.5</v>
      </c>
      <c r="I19" s="19">
        <f t="shared" si="3"/>
        <v>49029.033784546031</v>
      </c>
      <c r="J19" s="29">
        <f t="shared" si="4"/>
        <v>-970.96621545397647</v>
      </c>
      <c r="P19" s="1" t="s">
        <v>23</v>
      </c>
      <c r="R19" s="12"/>
      <c r="S19" s="12"/>
      <c r="W19" s="13">
        <v>0.5</v>
      </c>
      <c r="X19" s="19">
        <f t="shared" si="1"/>
        <v>39691.115068546642</v>
      </c>
      <c r="Y19" s="29">
        <f t="shared" si="2"/>
        <v>-308.88493145332905</v>
      </c>
    </row>
    <row r="20" spans="1:25" x14ac:dyDescent="0.35">
      <c r="A20" s="1"/>
      <c r="C20" s="12" t="s">
        <v>50</v>
      </c>
      <c r="D20" s="12"/>
      <c r="H20" s="13">
        <v>0.55000000000000004</v>
      </c>
      <c r="I20" s="19">
        <f t="shared" si="3"/>
        <v>50264.491754806448</v>
      </c>
      <c r="J20" s="29">
        <f t="shared" si="4"/>
        <v>264.49175480644044</v>
      </c>
      <c r="P20" s="1"/>
      <c r="R20" s="12" t="s">
        <v>50</v>
      </c>
      <c r="S20" s="12"/>
      <c r="W20" s="13">
        <v>0.55000000000000004</v>
      </c>
      <c r="X20" s="19">
        <f t="shared" si="1"/>
        <v>40317.039059064504</v>
      </c>
      <c r="Y20" s="29">
        <f t="shared" si="2"/>
        <v>317.03905906453292</v>
      </c>
    </row>
    <row r="21" spans="1:25" x14ac:dyDescent="0.35">
      <c r="A21" s="2"/>
      <c r="B21" s="2" t="s">
        <v>85</v>
      </c>
      <c r="C21" s="12" t="s">
        <v>51</v>
      </c>
      <c r="D21" s="14" t="s">
        <v>0</v>
      </c>
      <c r="H21" s="13">
        <v>0.6</v>
      </c>
      <c r="I21" s="19">
        <f t="shared" si="3"/>
        <v>51551.745314978078</v>
      </c>
      <c r="J21" s="29">
        <f t="shared" si="4"/>
        <v>1551.7453149780704</v>
      </c>
      <c r="P21" s="2"/>
      <c r="Q21" s="2" t="s">
        <v>85</v>
      </c>
      <c r="R21" s="12" t="s">
        <v>51</v>
      </c>
      <c r="S21" s="14" t="s">
        <v>0</v>
      </c>
      <c r="W21" s="13">
        <v>0.6</v>
      </c>
      <c r="X21" s="19">
        <f t="shared" si="1"/>
        <v>40963.158115699007</v>
      </c>
      <c r="Y21" s="29">
        <f t="shared" si="2"/>
        <v>963.15811569903599</v>
      </c>
    </row>
    <row r="22" spans="1:25" x14ac:dyDescent="0.35">
      <c r="A22" s="10" t="s">
        <v>57</v>
      </c>
      <c r="B22" t="s">
        <v>1</v>
      </c>
      <c r="C22" s="28">
        <f>LN(C10)-(C23^2)/2</f>
        <v>10.800167927833643</v>
      </c>
      <c r="D22" s="17">
        <f>C22</f>
        <v>10.800167927833643</v>
      </c>
      <c r="H22" s="13">
        <v>0.65</v>
      </c>
      <c r="I22" s="19">
        <f t="shared" si="3"/>
        <v>52916.879010402154</v>
      </c>
      <c r="J22" s="29">
        <f t="shared" si="4"/>
        <v>2916.8790104021464</v>
      </c>
      <c r="P22" s="10" t="s">
        <v>57</v>
      </c>
      <c r="Q22" t="s">
        <v>1</v>
      </c>
      <c r="R22" s="28">
        <f>LN(R10)-(R23^2)/2</f>
        <v>10.588882639828089</v>
      </c>
      <c r="S22" s="17">
        <f>R22</f>
        <v>10.588882639828089</v>
      </c>
      <c r="W22" s="13">
        <v>0.65</v>
      </c>
      <c r="X22" s="19">
        <f t="shared" si="1"/>
        <v>41641.857454355464</v>
      </c>
      <c r="Y22" s="29">
        <f t="shared" si="2"/>
        <v>1641.8574543554932</v>
      </c>
    </row>
    <row r="23" spans="1:25" x14ac:dyDescent="0.35">
      <c r="A23" s="10" t="s">
        <v>58</v>
      </c>
      <c r="B23" t="s">
        <v>2</v>
      </c>
      <c r="C23" s="28">
        <f>SQRT(LN(C11^2+C10^2)-2*LN(C10))</f>
        <v>0.19804220043536347</v>
      </c>
      <c r="D23" s="17">
        <f>C23</f>
        <v>0.19804220043536347</v>
      </c>
      <c r="H23" s="13">
        <v>0.7</v>
      </c>
      <c r="I23" s="19">
        <f>LOGINV(H23,Lognormal_Mu_Gross,Lognormal_Sigma_Gross)</f>
        <v>54394.665059716943</v>
      </c>
      <c r="J23" s="29">
        <f t="shared" si="4"/>
        <v>4394.6650597169355</v>
      </c>
      <c r="P23" s="10" t="s">
        <v>58</v>
      </c>
      <c r="Q23" t="s">
        <v>2</v>
      </c>
      <c r="R23" s="28">
        <f>SQRT(LN(R11^2+R10^2)-2*LN(R10))</f>
        <v>0.12451580837776013</v>
      </c>
      <c r="S23" s="17">
        <f>R23</f>
        <v>0.12451580837776013</v>
      </c>
      <c r="W23" s="13">
        <v>0.7</v>
      </c>
      <c r="X23" s="19">
        <f t="shared" si="1"/>
        <v>42369.277596007712</v>
      </c>
      <c r="Y23" s="29">
        <f t="shared" si="2"/>
        <v>2369.2775960077415</v>
      </c>
    </row>
    <row r="24" spans="1:25" x14ac:dyDescent="0.35">
      <c r="C24" s="18"/>
      <c r="D24" s="18"/>
      <c r="H24" s="13">
        <v>0.75</v>
      </c>
      <c r="I24" s="19">
        <f t="shared" si="3"/>
        <v>56035.761388997285</v>
      </c>
      <c r="J24" s="29">
        <f t="shared" si="4"/>
        <v>6035.7613889972781</v>
      </c>
      <c r="R24" s="18"/>
      <c r="S24" s="18"/>
      <c r="W24" s="13">
        <v>0.75</v>
      </c>
      <c r="X24" s="19">
        <f t="shared" si="1"/>
        <v>43168.540350567506</v>
      </c>
      <c r="Y24" s="29">
        <f t="shared" si="2"/>
        <v>3168.5403505675349</v>
      </c>
    </row>
    <row r="25" spans="1:25" x14ac:dyDescent="0.35">
      <c r="A25" t="s">
        <v>77</v>
      </c>
      <c r="C25" s="18"/>
      <c r="D25" s="18"/>
      <c r="H25" s="13">
        <v>0.8</v>
      </c>
      <c r="I25" s="19">
        <f t="shared" si="3"/>
        <v>57921.530371102235</v>
      </c>
      <c r="J25" s="29">
        <f t="shared" si="4"/>
        <v>7921.5303711022279</v>
      </c>
      <c r="P25" t="s">
        <v>77</v>
      </c>
      <c r="R25" s="18"/>
      <c r="S25" s="18"/>
      <c r="W25" s="13">
        <v>0.8</v>
      </c>
      <c r="X25" s="19">
        <f t="shared" si="1"/>
        <v>44076.312608668268</v>
      </c>
      <c r="Y25" s="29">
        <f t="shared" si="2"/>
        <v>4076.3126086682969</v>
      </c>
    </row>
    <row r="26" spans="1:25" x14ac:dyDescent="0.35">
      <c r="A26" t="str">
        <f>A22&amp;" = ln "&amp;A10&amp;" - ("&amp;A23&amp;"^2)/2 for Method of Moment; Selected are based on Method of Moment."</f>
        <v>(2a) = ln (1a) - ((2b)^2)/2 for Method of Moment; Selected are based on Method of Moment.</v>
      </c>
      <c r="C26" s="18"/>
      <c r="D26" s="18"/>
      <c r="H26" s="13">
        <v>0.85</v>
      </c>
      <c r="I26" s="19">
        <f t="shared" si="3"/>
        <v>60199.87030506484</v>
      </c>
      <c r="J26" s="29">
        <f t="shared" si="4"/>
        <v>10199.870305064833</v>
      </c>
      <c r="P26" t="str">
        <f>P22&amp;" = ln "&amp;P10&amp;" - ("&amp;P23&amp;"^2)/2 for Method of Moment; Selected are based on Method of Moment."</f>
        <v>(2a) = ln (1a) - ((2b)^2)/2 for Method of Moment; Selected are based on Method of Moment.</v>
      </c>
      <c r="R26" s="18"/>
      <c r="S26" s="18"/>
      <c r="W26" s="13">
        <v>0.85</v>
      </c>
      <c r="X26" s="19">
        <f t="shared" si="1"/>
        <v>45158.553227152828</v>
      </c>
      <c r="Y26" s="29">
        <f t="shared" si="2"/>
        <v>5158.5532271528573</v>
      </c>
    </row>
    <row r="27" spans="1:25" x14ac:dyDescent="0.35">
      <c r="A27" t="str">
        <f>A23&amp;" = sqrt(ln ("&amp;A10&amp;"^2 + "&amp;A11&amp;"^2) - 2 x ln "&amp;A10&amp;") for Method of Moment;"</f>
        <v>(2b) = sqrt(ln ((1a)^2 + (1b)^2) - 2 x ln (1a)) for Method of Moment;</v>
      </c>
      <c r="C27" s="18"/>
      <c r="D27" s="18"/>
      <c r="H27" s="13">
        <v>0.9</v>
      </c>
      <c r="I27" s="19">
        <f t="shared" si="3"/>
        <v>63194.289487711285</v>
      </c>
      <c r="J27" s="29">
        <f t="shared" si="4"/>
        <v>13194.289487711278</v>
      </c>
      <c r="P27" t="str">
        <f>P23&amp;" = sqrt(ln ("&amp;P10&amp;"^2 + "&amp;P11&amp;"^2) - 2 x ln "&amp;P10&amp;") for Method of Moment;"</f>
        <v>(2b) = sqrt(ln ((1a)^2 + (1b)^2) - 2 x ln (1a)) for Method of Moment;</v>
      </c>
      <c r="R27" s="18"/>
      <c r="S27" s="18"/>
      <c r="W27" s="13">
        <v>0.9</v>
      </c>
      <c r="X27" s="19">
        <f t="shared" si="1"/>
        <v>46558.090454525627</v>
      </c>
      <c r="Y27" s="29">
        <f t="shared" si="2"/>
        <v>6558.0904545256562</v>
      </c>
    </row>
    <row r="28" spans="1:25" x14ac:dyDescent="0.35">
      <c r="A28" s="101" t="s">
        <v>121</v>
      </c>
      <c r="H28" s="13">
        <v>0.95</v>
      </c>
      <c r="I28" s="19">
        <f t="shared" si="3"/>
        <v>67908.626968847093</v>
      </c>
      <c r="J28" s="29">
        <f t="shared" si="4"/>
        <v>17908.626968847086</v>
      </c>
      <c r="P28" s="101" t="s">
        <v>121</v>
      </c>
      <c r="W28" s="13">
        <v>0.95</v>
      </c>
      <c r="X28" s="19">
        <f t="shared" si="1"/>
        <v>48712.595924948044</v>
      </c>
      <c r="Y28" s="29">
        <f t="shared" si="2"/>
        <v>8712.5959249480729</v>
      </c>
    </row>
    <row r="29" spans="1:25" x14ac:dyDescent="0.35">
      <c r="H29" s="13">
        <v>0.99</v>
      </c>
      <c r="I29" s="19">
        <f t="shared" si="3"/>
        <v>77721.171738514677</v>
      </c>
      <c r="J29" s="29">
        <f t="shared" si="4"/>
        <v>27721.171738514669</v>
      </c>
      <c r="W29" s="13">
        <v>0.99</v>
      </c>
      <c r="X29" s="19">
        <f t="shared" si="1"/>
        <v>53026.640963515449</v>
      </c>
      <c r="Y29" s="29">
        <f t="shared" si="2"/>
        <v>13026.640963515478</v>
      </c>
    </row>
    <row r="30" spans="1:25" x14ac:dyDescent="0.35">
      <c r="H30" s="13">
        <v>0.995</v>
      </c>
      <c r="I30" s="19">
        <f>LOGINV(H30,Lognormal_Mu_Gross,Lognormal_Sigma_Gross)</f>
        <v>81657.653630033514</v>
      </c>
      <c r="J30" s="29">
        <f t="shared" ref="J30" si="5">I30-Implied_Mean_Gross</f>
        <v>31657.653630033506</v>
      </c>
      <c r="W30" s="13">
        <v>0.995</v>
      </c>
      <c r="X30" s="19">
        <f t="shared" si="1"/>
        <v>54699.733031422933</v>
      </c>
      <c r="Y30" s="29">
        <f t="shared" si="2"/>
        <v>14699.733031422962</v>
      </c>
    </row>
    <row r="31" spans="1:25" x14ac:dyDescent="0.35">
      <c r="H31" s="13">
        <v>0.999</v>
      </c>
      <c r="I31" s="19">
        <f>LOGINV(H31,Lognormal_Mu_Gross,Lognormal_Sigma_Gross)</f>
        <v>90414.897992451748</v>
      </c>
      <c r="J31" s="29">
        <f t="shared" si="4"/>
        <v>40414.897992451741</v>
      </c>
      <c r="W31" s="13">
        <v>0.999</v>
      </c>
      <c r="X31" s="19">
        <f t="shared" si="1"/>
        <v>58317.961566348538</v>
      </c>
      <c r="Y31" s="29">
        <f t="shared" si="2"/>
        <v>18317.961566348567</v>
      </c>
    </row>
    <row r="32" spans="1:25" x14ac:dyDescent="0.35">
      <c r="H32" s="4"/>
      <c r="I32" s="5"/>
      <c r="J32" s="7"/>
      <c r="W32" s="4"/>
      <c r="X32" s="5"/>
      <c r="Y32" s="7"/>
    </row>
    <row r="33" spans="1:29" x14ac:dyDescent="0.35">
      <c r="G33" s="10" t="s">
        <v>60</v>
      </c>
      <c r="H33" s="113" t="s">
        <v>26</v>
      </c>
      <c r="I33" s="113" t="s">
        <v>25</v>
      </c>
      <c r="J33" s="113" t="s">
        <v>16</v>
      </c>
      <c r="V33" s="10" t="s">
        <v>60</v>
      </c>
      <c r="W33" s="113" t="s">
        <v>26</v>
      </c>
      <c r="X33" s="113" t="s">
        <v>25</v>
      </c>
      <c r="Y33" s="113" t="s">
        <v>16</v>
      </c>
    </row>
    <row r="34" spans="1:29" x14ac:dyDescent="0.35">
      <c r="H34" s="114"/>
      <c r="I34" s="114"/>
      <c r="J34" s="114"/>
      <c r="W34" s="114"/>
      <c r="X34" s="114"/>
      <c r="Y34" s="114"/>
    </row>
    <row r="35" spans="1:29" x14ac:dyDescent="0.35">
      <c r="H35" s="22">
        <v>0.75</v>
      </c>
      <c r="I35" s="19">
        <f t="shared" ref="I35" si="6">LOGINV(H35,Lognormal_Mu_Gross,Lognormal_Sigma_Gross)</f>
        <v>56035.761388997285</v>
      </c>
      <c r="J35" s="29">
        <f>I35-Implied_Mean_Gross</f>
        <v>6035.7613889972781</v>
      </c>
      <c r="W35" s="22">
        <f>Selected_VaR</f>
        <v>0.75</v>
      </c>
      <c r="X35" s="19">
        <f>LOGINV(W35,Lognormal_Mu_Net,Lognormal_Sigma_Net)</f>
        <v>43168.540350567506</v>
      </c>
      <c r="Y35" s="29">
        <f>X35-Implied_Mean_Net</f>
        <v>3168.5403505675349</v>
      </c>
    </row>
    <row r="37" spans="1:29" x14ac:dyDescent="0.35">
      <c r="G37" t="s">
        <v>77</v>
      </c>
      <c r="V37" t="s">
        <v>77</v>
      </c>
    </row>
    <row r="38" spans="1:29" x14ac:dyDescent="0.35">
      <c r="G38" t="str">
        <f>G8&amp;" Estimate future Cash flows based on the selected parameters in "&amp;A22&amp;" and "&amp;A23&amp;"."</f>
        <v>(3a) Estimate future Cash flows based on the selected parameters in (2a) and (2b).</v>
      </c>
      <c r="V38" t="str">
        <f>V8&amp;" Estimate future Cash flows based on the selected parameters in "&amp;P22&amp;" and "&amp;P23&amp;"."</f>
        <v>(3a) Estimate future Cash flows based on the selected parameters in (2a) and (2b).</v>
      </c>
    </row>
    <row r="39" spans="1:29" x14ac:dyDescent="0.35">
      <c r="G39" t="str">
        <f>"         Implied RA = Estimated Future CFs - Implied mean from selected parameters "&amp;A10&amp;"."</f>
        <v xml:space="preserve">         Implied RA = Estimated Future CFs - Implied mean from selected parameters (1a).</v>
      </c>
      <c r="V39" t="str">
        <f>"         Implied RA = Estimated Future CFs - Implied mean from selected parameters "&amp;P10&amp;"."</f>
        <v xml:space="preserve">         Implied RA = Estimated Future CFs - Implied mean from selected parameters (1a).</v>
      </c>
    </row>
    <row r="40" spans="1:29" x14ac:dyDescent="0.35">
      <c r="G40" t="str">
        <f>G33&amp;" based on selected lognormal distribution in line with results in "&amp;G8&amp;"."</f>
        <v>(3b) based on selected lognormal distribution in line with results in (3a).</v>
      </c>
      <c r="V40" t="str">
        <f>V33&amp;" based on selected lognormal distribution in line with results in "&amp;V8&amp;"."</f>
        <v>(3b) based on selected lognormal distribution in line with results in (3a).</v>
      </c>
    </row>
    <row r="41" spans="1:29" ht="13.5" customHeight="1" x14ac:dyDescent="0.35"/>
    <row r="42" spans="1:29" s="78" customFormat="1" x14ac:dyDescent="0.35">
      <c r="A42" s="78" t="str">
        <f>A1</f>
        <v>IFRS 17 Risk Adjustment for Non-Financial Risk for Property and Casualty Actuaries</v>
      </c>
      <c r="N42" s="79">
        <f>N1</f>
        <v>2</v>
      </c>
      <c r="P42" s="78" t="str">
        <f>P1</f>
        <v>IFRS 17 Risk Adjustment for Non-Financial Risk for Property and Casualty Actuaries</v>
      </c>
      <c r="AC42" s="79">
        <f>AC1</f>
        <v>2</v>
      </c>
    </row>
    <row r="43" spans="1:29" s="78" customFormat="1" x14ac:dyDescent="0.35">
      <c r="A43" s="80" t="str">
        <f t="shared" ref="A43:A45" si="7">A2</f>
        <v>Illustrative Examples of Risk Adjustment Approach</v>
      </c>
      <c r="B43" s="80"/>
      <c r="C43" s="80"/>
      <c r="D43" s="80"/>
      <c r="E43" s="80"/>
      <c r="F43" s="80"/>
      <c r="G43" s="80"/>
      <c r="H43" s="80"/>
      <c r="I43" s="80"/>
      <c r="J43" s="80"/>
      <c r="K43" s="80"/>
      <c r="L43" s="80"/>
      <c r="M43" s="80"/>
      <c r="N43" s="81">
        <f>N2+1</f>
        <v>2</v>
      </c>
      <c r="P43" s="80" t="str">
        <f t="shared" ref="P43:P45" si="8">P2</f>
        <v>Illustrative Examples of Risk Adjustment Approach</v>
      </c>
      <c r="Q43" s="80"/>
      <c r="R43" s="80"/>
      <c r="S43" s="80"/>
      <c r="T43" s="80"/>
      <c r="U43" s="80"/>
      <c r="V43" s="80"/>
      <c r="W43" s="80"/>
      <c r="X43" s="80"/>
      <c r="Y43" s="80"/>
      <c r="Z43" s="80"/>
      <c r="AA43" s="80"/>
      <c r="AB43" s="80"/>
      <c r="AC43" s="81">
        <f>AC2+1</f>
        <v>4</v>
      </c>
    </row>
    <row r="44" spans="1:29" s="78" customFormat="1" ht="18.5" x14ac:dyDescent="0.45">
      <c r="A44" s="45" t="str">
        <f t="shared" si="7"/>
        <v xml:space="preserve">Portfolio 1: Long-Tail </v>
      </c>
      <c r="P44" s="45" t="str">
        <f t="shared" si="8"/>
        <v xml:space="preserve">Portfolio 1: Long-Tail </v>
      </c>
    </row>
    <row r="45" spans="1:29" s="78" customFormat="1" ht="18.5" x14ac:dyDescent="0.45">
      <c r="A45" s="45" t="str">
        <f t="shared" si="7"/>
        <v>Gross of Reinsurance in (000)</v>
      </c>
      <c r="P45" s="45" t="str">
        <f t="shared" si="8"/>
        <v>Net of Reinsurance in (000)</v>
      </c>
    </row>
    <row r="46" spans="1:29" ht="13.5" customHeight="1" x14ac:dyDescent="0.35"/>
    <row r="47" spans="1:29" x14ac:dyDescent="0.35">
      <c r="A47" s="1" t="s">
        <v>27</v>
      </c>
      <c r="G47" s="1"/>
      <c r="P47" s="1" t="s">
        <v>27</v>
      </c>
      <c r="V47" s="1"/>
    </row>
    <row r="48" spans="1:29" x14ac:dyDescent="0.35">
      <c r="A48" s="1"/>
      <c r="P48" s="1"/>
    </row>
    <row r="49" spans="1:28" x14ac:dyDescent="0.35">
      <c r="A49" s="10" t="s">
        <v>61</v>
      </c>
      <c r="B49" t="s">
        <v>24</v>
      </c>
      <c r="C49" s="22">
        <f>Selected_Risk_Appetite_Percentile</f>
        <v>0.99</v>
      </c>
      <c r="P49" s="10" t="s">
        <v>61</v>
      </c>
      <c r="Q49" t="s">
        <v>24</v>
      </c>
      <c r="R49" s="22">
        <f>Selected_Risk_Appetite_Percentile</f>
        <v>0.99</v>
      </c>
    </row>
    <row r="50" spans="1:28" x14ac:dyDescent="0.35">
      <c r="A50" s="10" t="s">
        <v>62</v>
      </c>
      <c r="B50" t="s">
        <v>28</v>
      </c>
      <c r="C50" s="31">
        <f>LOGINV(C49,Lognormal_Mu_Gross,Lognormal_Sigma_Gross)-Implied_Mean_Gross</f>
        <v>27721.171738514669</v>
      </c>
      <c r="P50" s="10" t="s">
        <v>62</v>
      </c>
      <c r="Q50" t="s">
        <v>28</v>
      </c>
      <c r="R50" s="31">
        <f>LOGINV(R49,Lognormal_Mu_Net,Lognormal_Sigma_Net)-Implied_Mean_Net</f>
        <v>13026.640963515478</v>
      </c>
    </row>
    <row r="51" spans="1:28" x14ac:dyDescent="0.35">
      <c r="A51" s="10" t="s">
        <v>63</v>
      </c>
      <c r="B51" t="s">
        <v>13</v>
      </c>
      <c r="C51" s="22">
        <v>1</v>
      </c>
      <c r="P51" s="10" t="s">
        <v>63</v>
      </c>
      <c r="Q51" t="s">
        <v>13</v>
      </c>
      <c r="R51" s="22">
        <v>1</v>
      </c>
    </row>
    <row r="52" spans="1:28" x14ac:dyDescent="0.35">
      <c r="A52" s="10" t="s">
        <v>64</v>
      </c>
      <c r="B52" t="s">
        <v>29</v>
      </c>
      <c r="C52" s="19">
        <f>C50*C51</f>
        <v>27721.171738514669</v>
      </c>
      <c r="P52" s="10" t="s">
        <v>64</v>
      </c>
      <c r="Q52" t="s">
        <v>29</v>
      </c>
      <c r="R52" s="19">
        <f>R50*R51</f>
        <v>13026.640963515478</v>
      </c>
    </row>
    <row r="53" spans="1:28" x14ac:dyDescent="0.35">
      <c r="A53" s="10" t="s">
        <v>65</v>
      </c>
      <c r="B53" t="s">
        <v>9</v>
      </c>
      <c r="C53" s="46">
        <f>Rf_Rate</f>
        <v>0.02</v>
      </c>
      <c r="P53" s="10" t="s">
        <v>65</v>
      </c>
      <c r="Q53" t="s">
        <v>9</v>
      </c>
      <c r="R53" s="46">
        <f>Rf_Rate</f>
        <v>0.02</v>
      </c>
    </row>
    <row r="55" spans="1:28" x14ac:dyDescent="0.35">
      <c r="A55" s="10" t="s">
        <v>68</v>
      </c>
      <c r="B55" t="s">
        <v>30</v>
      </c>
      <c r="C55" s="12" t="s">
        <v>3</v>
      </c>
      <c r="D55" s="12" t="s">
        <v>4</v>
      </c>
      <c r="E55" s="12" t="s">
        <v>5</v>
      </c>
      <c r="F55" s="12" t="s">
        <v>6</v>
      </c>
      <c r="G55" s="12" t="s">
        <v>7</v>
      </c>
      <c r="H55" s="12" t="s">
        <v>8</v>
      </c>
      <c r="I55" s="12" t="s">
        <v>36</v>
      </c>
      <c r="J55" s="12" t="s">
        <v>37</v>
      </c>
      <c r="K55" s="12" t="s">
        <v>38</v>
      </c>
      <c r="L55" s="12" t="s">
        <v>39</v>
      </c>
      <c r="M55" s="12" t="s">
        <v>40</v>
      </c>
      <c r="P55" s="10" t="s">
        <v>68</v>
      </c>
      <c r="Q55" t="s">
        <v>30</v>
      </c>
      <c r="R55" s="12" t="s">
        <v>3</v>
      </c>
      <c r="S55" s="12" t="s">
        <v>4</v>
      </c>
      <c r="T55" s="12" t="s">
        <v>5</v>
      </c>
      <c r="U55" s="12" t="s">
        <v>6</v>
      </c>
      <c r="V55" s="12" t="s">
        <v>7</v>
      </c>
      <c r="W55" s="12" t="s">
        <v>8</v>
      </c>
      <c r="X55" s="12" t="s">
        <v>36</v>
      </c>
      <c r="Y55" s="12" t="s">
        <v>37</v>
      </c>
      <c r="Z55" s="12" t="s">
        <v>38</v>
      </c>
      <c r="AA55" s="12" t="s">
        <v>39</v>
      </c>
      <c r="AB55" s="12" t="s">
        <v>40</v>
      </c>
    </row>
    <row r="56" spans="1:28" x14ac:dyDescent="0.35">
      <c r="B56" t="s">
        <v>92</v>
      </c>
      <c r="C56" s="20">
        <v>1</v>
      </c>
      <c r="D56" s="20">
        <v>0.75</v>
      </c>
      <c r="E56" s="20">
        <v>0.6</v>
      </c>
      <c r="F56" s="20">
        <v>0.45</v>
      </c>
      <c r="G56" s="20">
        <v>0.35</v>
      </c>
      <c r="H56" s="20">
        <v>0.25</v>
      </c>
      <c r="I56" s="20">
        <v>0.2</v>
      </c>
      <c r="J56" s="20">
        <v>0.15</v>
      </c>
      <c r="K56" s="20">
        <v>0.1</v>
      </c>
      <c r="L56" s="20">
        <v>0.05</v>
      </c>
      <c r="M56" s="20">
        <v>0</v>
      </c>
      <c r="Q56" t="s">
        <v>92</v>
      </c>
      <c r="R56" s="20">
        <v>1</v>
      </c>
      <c r="S56" s="20">
        <v>0.75</v>
      </c>
      <c r="T56" s="20">
        <v>0.6</v>
      </c>
      <c r="U56" s="20">
        <v>0.45</v>
      </c>
      <c r="V56" s="20">
        <v>0.35</v>
      </c>
      <c r="W56" s="20">
        <v>0.25</v>
      </c>
      <c r="X56" s="20">
        <v>0.2</v>
      </c>
      <c r="Y56" s="20">
        <v>0.15</v>
      </c>
      <c r="Z56" s="20">
        <v>0.1</v>
      </c>
      <c r="AA56" s="20">
        <v>0.05</v>
      </c>
      <c r="AB56" s="20">
        <v>0</v>
      </c>
    </row>
    <row r="58" spans="1:28" x14ac:dyDescent="0.35">
      <c r="A58" s="10" t="s">
        <v>69</v>
      </c>
      <c r="B58" t="s">
        <v>66</v>
      </c>
      <c r="C58" s="19">
        <f t="shared" ref="C58:H58" si="9">Capital_T0_Gross*C56</f>
        <v>27721.171738514669</v>
      </c>
      <c r="D58" s="19">
        <f t="shared" si="9"/>
        <v>20790.878803886</v>
      </c>
      <c r="E58" s="19">
        <f t="shared" si="9"/>
        <v>16632.703043108802</v>
      </c>
      <c r="F58" s="19">
        <f t="shared" si="9"/>
        <v>12474.527282331601</v>
      </c>
      <c r="G58" s="19">
        <f t="shared" si="9"/>
        <v>9702.4101084801332</v>
      </c>
      <c r="H58" s="19">
        <f t="shared" si="9"/>
        <v>6930.2929346286674</v>
      </c>
      <c r="I58" s="19">
        <f t="shared" ref="I58:M58" si="10">Capital_T0_Gross*I56</f>
        <v>5544.2343477029344</v>
      </c>
      <c r="J58" s="19">
        <f t="shared" si="10"/>
        <v>4158.1757607772006</v>
      </c>
      <c r="K58" s="19">
        <f t="shared" si="10"/>
        <v>2772.1171738514672</v>
      </c>
      <c r="L58" s="19">
        <f t="shared" si="10"/>
        <v>1386.0585869257336</v>
      </c>
      <c r="M58" s="19">
        <f t="shared" si="10"/>
        <v>0</v>
      </c>
      <c r="P58" s="10" t="s">
        <v>69</v>
      </c>
      <c r="Q58" t="s">
        <v>66</v>
      </c>
      <c r="R58" s="19">
        <f t="shared" ref="R58:AB58" si="11">Capital_T0_Net*R56</f>
        <v>13026.640963515478</v>
      </c>
      <c r="S58" s="19">
        <f t="shared" si="11"/>
        <v>9769.9807226366083</v>
      </c>
      <c r="T58" s="19">
        <f t="shared" si="11"/>
        <v>7815.9845781092863</v>
      </c>
      <c r="U58" s="19">
        <f t="shared" si="11"/>
        <v>5861.9884335819652</v>
      </c>
      <c r="V58" s="19">
        <f t="shared" si="11"/>
        <v>4559.3243372304169</v>
      </c>
      <c r="W58" s="19">
        <f t="shared" si="11"/>
        <v>3256.6602408788694</v>
      </c>
      <c r="X58" s="19">
        <f t="shared" si="11"/>
        <v>2605.3281927030957</v>
      </c>
      <c r="Y58" s="19">
        <f t="shared" si="11"/>
        <v>1953.9961445273216</v>
      </c>
      <c r="Z58" s="19">
        <f t="shared" si="11"/>
        <v>1302.6640963515479</v>
      </c>
      <c r="AA58" s="19">
        <f t="shared" si="11"/>
        <v>651.33204817577393</v>
      </c>
      <c r="AB58" s="19">
        <f t="shared" si="11"/>
        <v>0</v>
      </c>
    </row>
    <row r="59" spans="1:28" x14ac:dyDescent="0.35">
      <c r="A59" s="10" t="s">
        <v>70</v>
      </c>
      <c r="B59" t="s">
        <v>15</v>
      </c>
      <c r="C59" s="19">
        <f t="shared" ref="C59:H59" si="12">CoC_Rate*C58</f>
        <v>2772.1171738514672</v>
      </c>
      <c r="D59" s="19">
        <f t="shared" si="12"/>
        <v>2079.0878803886003</v>
      </c>
      <c r="E59" s="19">
        <f t="shared" si="12"/>
        <v>1663.2703043108804</v>
      </c>
      <c r="F59" s="19">
        <f t="shared" si="12"/>
        <v>1247.4527282331601</v>
      </c>
      <c r="G59" s="19">
        <f t="shared" si="12"/>
        <v>970.24101084801339</v>
      </c>
      <c r="H59" s="19">
        <f t="shared" si="12"/>
        <v>693.0292934628668</v>
      </c>
      <c r="I59" s="19">
        <f t="shared" ref="I59:M59" si="13">CoC_Rate*I58</f>
        <v>554.42343477029351</v>
      </c>
      <c r="J59" s="19">
        <f t="shared" si="13"/>
        <v>415.8175760777201</v>
      </c>
      <c r="K59" s="19">
        <f t="shared" si="13"/>
        <v>277.21171738514676</v>
      </c>
      <c r="L59" s="19">
        <f t="shared" si="13"/>
        <v>138.60585869257338</v>
      </c>
      <c r="M59" s="19">
        <f t="shared" si="13"/>
        <v>0</v>
      </c>
      <c r="P59" s="10" t="s">
        <v>70</v>
      </c>
      <c r="Q59" t="s">
        <v>15</v>
      </c>
      <c r="R59" s="19">
        <f t="shared" ref="R59:AB59" si="14">CoC_Rate*R58</f>
        <v>1302.6640963515479</v>
      </c>
      <c r="S59" s="19">
        <f t="shared" si="14"/>
        <v>976.9980722636609</v>
      </c>
      <c r="T59" s="19">
        <f t="shared" si="14"/>
        <v>781.59845781092872</v>
      </c>
      <c r="U59" s="19">
        <f t="shared" si="14"/>
        <v>586.19884335819654</v>
      </c>
      <c r="V59" s="19">
        <f t="shared" si="14"/>
        <v>455.9324337230417</v>
      </c>
      <c r="W59" s="19">
        <f t="shared" si="14"/>
        <v>325.66602408788697</v>
      </c>
      <c r="X59" s="19">
        <f t="shared" si="14"/>
        <v>260.53281927030957</v>
      </c>
      <c r="Y59" s="19">
        <f t="shared" si="14"/>
        <v>195.39961445273218</v>
      </c>
      <c r="Z59" s="19">
        <f t="shared" si="14"/>
        <v>130.26640963515479</v>
      </c>
      <c r="AA59" s="19">
        <f t="shared" si="14"/>
        <v>65.133204817577393</v>
      </c>
      <c r="AB59" s="19">
        <f t="shared" si="14"/>
        <v>0</v>
      </c>
    </row>
    <row r="60" spans="1:28" x14ac:dyDescent="0.35">
      <c r="A60" s="10" t="s">
        <v>71</v>
      </c>
      <c r="B60" t="s">
        <v>67</v>
      </c>
      <c r="C60" s="13">
        <f>(1+Rf_Rate)^-COUNTA($C$55:C55)</f>
        <v>0.98039215686274506</v>
      </c>
      <c r="D60" s="13">
        <f>(1+Rf_Rate)^-COUNTA($C$55:D55)</f>
        <v>0.96116878123798544</v>
      </c>
      <c r="E60" s="13">
        <f>(1+Rf_Rate)^-COUNTA($C$55:E55)</f>
        <v>0.94232233454704462</v>
      </c>
      <c r="F60" s="13">
        <f>(1+Rf_Rate)^-COUNTA($C$55:F55)</f>
        <v>0.9238454260265142</v>
      </c>
      <c r="G60" s="13">
        <f>(1+Rf_Rate)^-COUNTA($C$55:G55)</f>
        <v>0.90573080982991594</v>
      </c>
      <c r="H60" s="13">
        <f>(1+Rf_Rate)^-COUNTA($C$55:H55)</f>
        <v>0.88797138218619198</v>
      </c>
      <c r="I60" s="13">
        <f>(1+Rf_Rate)^-COUNTA($C$55:I55)</f>
        <v>0.87056017861391388</v>
      </c>
      <c r="J60" s="13">
        <f>(1+Rf_Rate)^-COUNTA($C$55:J55)</f>
        <v>0.85349037119011162</v>
      </c>
      <c r="K60" s="13">
        <f>(1+Rf_Rate)^-COUNTA($C$55:K55)</f>
        <v>0.83675526587265847</v>
      </c>
      <c r="L60" s="13">
        <f>(1+Rf_Rate)^-COUNTA($C$55:L55)</f>
        <v>0.82034829987515534</v>
      </c>
      <c r="M60" s="13">
        <f>(1+Rf_Rate)^-COUNTA($C$55:M55)</f>
        <v>0.80426303909328967</v>
      </c>
      <c r="P60" s="10" t="s">
        <v>71</v>
      </c>
      <c r="Q60" t="s">
        <v>67</v>
      </c>
      <c r="R60" s="13">
        <f>(1+Rf_Rate)^-COUNTA($R$55:R55)</f>
        <v>0.98039215686274506</v>
      </c>
      <c r="S60" s="13">
        <f>(1+Rf_Rate)^-COUNTA($R$55:S55)</f>
        <v>0.96116878123798544</v>
      </c>
      <c r="T60" s="13">
        <f>(1+Rf_Rate)^-COUNTA($R$55:T55)</f>
        <v>0.94232233454704462</v>
      </c>
      <c r="U60" s="13">
        <f>(1+Rf_Rate)^-COUNTA($R$55:U55)</f>
        <v>0.9238454260265142</v>
      </c>
      <c r="V60" s="13">
        <f>(1+Rf_Rate)^-COUNTA($R$55:V55)</f>
        <v>0.90573080982991594</v>
      </c>
      <c r="W60" s="13">
        <f>(1+Rf_Rate)^-COUNTA($R$55:W55)</f>
        <v>0.88797138218619198</v>
      </c>
      <c r="X60" s="13">
        <f>(1+Rf_Rate)^-COUNTA($R$55:X55)</f>
        <v>0.87056017861391388</v>
      </c>
      <c r="Y60" s="13">
        <f>(1+Rf_Rate)^-COUNTA($R$55:Y55)</f>
        <v>0.85349037119011162</v>
      </c>
      <c r="Z60" s="13">
        <f>(1+Rf_Rate)^-COUNTA($R$55:Z55)</f>
        <v>0.83675526587265847</v>
      </c>
      <c r="AA60" s="13">
        <f>(1+Rf_Rate)^-COUNTA($R$55:AA55)</f>
        <v>0.82034829987515534</v>
      </c>
      <c r="AB60" s="13">
        <f>(1+Rf_Rate)^-COUNTA($R$55:AB55)</f>
        <v>0.80426303909328967</v>
      </c>
    </row>
    <row r="61" spans="1:28" x14ac:dyDescent="0.35">
      <c r="A61" s="10" t="s">
        <v>72</v>
      </c>
      <c r="B61" t="s">
        <v>10</v>
      </c>
      <c r="C61" s="19">
        <f>C59*C60</f>
        <v>2717.7619351484973</v>
      </c>
      <c r="D61" s="19">
        <f t="shared" ref="D61:H61" si="15">D59*D60</f>
        <v>1998.3543640797775</v>
      </c>
      <c r="E61" s="19">
        <f t="shared" si="15"/>
        <v>1567.3367561410021</v>
      </c>
      <c r="F61" s="19">
        <f t="shared" si="15"/>
        <v>1152.4534971625012</v>
      </c>
      <c r="G61" s="19">
        <f t="shared" si="15"/>
        <v>878.77717648556745</v>
      </c>
      <c r="H61" s="19">
        <f t="shared" si="15"/>
        <v>615.39017961174193</v>
      </c>
      <c r="I61" s="19">
        <f t="shared" ref="I61:M61" si="16">I59*I60</f>
        <v>482.65896440136635</v>
      </c>
      <c r="J61" s="19">
        <f t="shared" si="16"/>
        <v>354.89629735394578</v>
      </c>
      <c r="K61" s="19">
        <f t="shared" si="16"/>
        <v>231.95836428362475</v>
      </c>
      <c r="L61" s="19">
        <f t="shared" si="16"/>
        <v>113.70508053118859</v>
      </c>
      <c r="M61" s="19">
        <f t="shared" si="16"/>
        <v>0</v>
      </c>
      <c r="P61" s="10" t="s">
        <v>72</v>
      </c>
      <c r="Q61" t="s">
        <v>10</v>
      </c>
      <c r="R61" s="19">
        <f>R59*R60</f>
        <v>1277.1216630897527</v>
      </c>
      <c r="S61" s="19">
        <f t="shared" ref="S61:AB61" si="17">S59*S60</f>
        <v>939.06004638952413</v>
      </c>
      <c r="T61" s="19">
        <f t="shared" si="17"/>
        <v>736.51768344276411</v>
      </c>
      <c r="U61" s="19">
        <f t="shared" si="17"/>
        <v>541.55712017850294</v>
      </c>
      <c r="V61" s="19">
        <f t="shared" si="17"/>
        <v>412.95205242369502</v>
      </c>
      <c r="W61" s="19">
        <f t="shared" si="17"/>
        <v>289.18210954040268</v>
      </c>
      <c r="X61" s="19">
        <f t="shared" si="17"/>
        <v>226.80949767874725</v>
      </c>
      <c r="Y61" s="19">
        <f t="shared" si="17"/>
        <v>166.77168946966708</v>
      </c>
      <c r="Z61" s="19">
        <f t="shared" si="17"/>
        <v>109.00110422854058</v>
      </c>
      <c r="AA61" s="19">
        <f t="shared" si="17"/>
        <v>53.431913837519893</v>
      </c>
      <c r="AB61" s="19">
        <f t="shared" si="17"/>
        <v>0</v>
      </c>
    </row>
    <row r="62" spans="1:28" x14ac:dyDescent="0.35">
      <c r="C62" s="5"/>
      <c r="D62" s="5"/>
      <c r="E62" s="5"/>
      <c r="F62" s="5"/>
      <c r="G62" s="5"/>
      <c r="H62" s="5"/>
      <c r="R62" s="5"/>
      <c r="S62" s="5"/>
      <c r="T62" s="5"/>
      <c r="U62" s="5"/>
      <c r="V62" s="5"/>
      <c r="W62" s="5"/>
    </row>
    <row r="63" spans="1:28" ht="30" x14ac:dyDescent="0.45">
      <c r="C63" s="12" t="s">
        <v>32</v>
      </c>
      <c r="D63" s="12" t="s">
        <v>11</v>
      </c>
      <c r="E63" s="14" t="s">
        <v>35</v>
      </c>
      <c r="R63" s="12" t="s">
        <v>32</v>
      </c>
      <c r="S63" s="12" t="s">
        <v>11</v>
      </c>
      <c r="T63" s="14" t="s">
        <v>35</v>
      </c>
    </row>
    <row r="64" spans="1:28" x14ac:dyDescent="0.35">
      <c r="A64" s="10" t="s">
        <v>73</v>
      </c>
      <c r="B64" t="s">
        <v>18</v>
      </c>
      <c r="C64" s="46">
        <f>CoC_Rate</f>
        <v>0.1</v>
      </c>
      <c r="D64" s="19">
        <f>SUM(C61:M61)</f>
        <v>10113.292615199212</v>
      </c>
      <c r="E64" s="30">
        <f>LOGNORMDIST(D64+Implied_Mean_Gross,Lognormal_Mu_Gross,Lognormal_Sigma_Gross)</f>
        <v>0.84829921397818919</v>
      </c>
      <c r="P64" s="10" t="s">
        <v>73</v>
      </c>
      <c r="Q64" t="s">
        <v>18</v>
      </c>
      <c r="R64" s="46">
        <f>CoC_Rate</f>
        <v>0.1</v>
      </c>
      <c r="S64" s="19">
        <f>SUM(R61:AB61)</f>
        <v>4752.4048802791149</v>
      </c>
      <c r="T64" s="30">
        <f>LOGNORMDIST(S64+Implied_Mean_Net,Lognormal_Mu_Net,Lognormal_Sigma_Net)</f>
        <v>0.83244599837836941</v>
      </c>
    </row>
    <row r="65" spans="1:23" ht="29" x14ac:dyDescent="0.35">
      <c r="A65" s="24" t="s">
        <v>74</v>
      </c>
      <c r="B65" s="25" t="s">
        <v>34</v>
      </c>
      <c r="C65" s="32">
        <f>D65/SUMPRODUCT(C58:M58,C60:M60)</f>
        <v>5.9681466943082073E-2</v>
      </c>
      <c r="D65" s="26">
        <f>$J$35</f>
        <v>6035.7613889972781</v>
      </c>
      <c r="E65" s="42">
        <f>Selected_VaR</f>
        <v>0.75</v>
      </c>
      <c r="P65" s="24" t="s">
        <v>74</v>
      </c>
      <c r="Q65" s="25" t="s">
        <v>34</v>
      </c>
      <c r="R65" s="32">
        <f>S65/SUMPRODUCT(R58:AB58,R60:AB60)</f>
        <v>6.6672357056864265E-2</v>
      </c>
      <c r="S65" s="26">
        <f>$Y$35</f>
        <v>3168.5403505675349</v>
      </c>
      <c r="T65" s="42">
        <f>Selected_VaR</f>
        <v>0.75</v>
      </c>
    </row>
    <row r="66" spans="1:23" x14ac:dyDescent="0.35">
      <c r="C66" s="9"/>
      <c r="D66" s="7"/>
      <c r="H66" s="102" t="s">
        <v>33</v>
      </c>
      <c r="R66" s="9"/>
      <c r="S66" s="7"/>
      <c r="W66" s="102" t="s">
        <v>33</v>
      </c>
    </row>
    <row r="67" spans="1:23" x14ac:dyDescent="0.35">
      <c r="A67" t="s">
        <v>77</v>
      </c>
      <c r="P67" t="s">
        <v>77</v>
      </c>
    </row>
    <row r="68" spans="1:23" x14ac:dyDescent="0.35">
      <c r="A68" t="str">
        <f>A49&amp;", "&amp;A51&amp;","&amp;A53&amp;", and "&amp;A55&amp;" Judgementally selected. "</f>
        <v xml:space="preserve">(4a), (4c),(4e), and (4f) Judgementally selected. </v>
      </c>
      <c r="P68" t="str">
        <f>P49&amp;", "&amp;P51&amp;","&amp;P53&amp;", and "&amp;P55&amp;" Judgementally selected. "</f>
        <v xml:space="preserve">(4a), (4c),(4e), and (4f) Judgementally selected. </v>
      </c>
    </row>
    <row r="69" spans="1:23" x14ac:dyDescent="0.35">
      <c r="A69" t="str">
        <f>A50&amp;" Look up from "&amp;G8&amp;" the required capital related to the selected risk appetite percentile in "&amp;A49&amp;"."</f>
        <v>(4b) Look up from (3a) the required capital related to the selected risk appetite percentile in (4a).</v>
      </c>
      <c r="P69" t="str">
        <f>P50&amp;" Look up from "&amp;V8&amp;" the required capital related to the selected risk appetite percentile in "&amp;P49&amp;"."</f>
        <v>(4b) Look up from (3a) the required capital related to the selected risk appetite percentile in (4a).</v>
      </c>
    </row>
    <row r="70" spans="1:23" x14ac:dyDescent="0.35">
      <c r="A70" t="str">
        <f>A52&amp;" = ["&amp;A50&amp;" x "&amp;A51&amp;"]."</f>
        <v>(4d) = [(4b) x (4c)].</v>
      </c>
      <c r="P70" t="str">
        <f>P52&amp;" = ["&amp;P50&amp;" x "&amp;P51&amp;"]."</f>
        <v>(4d) = [(4b) x (4c)].</v>
      </c>
    </row>
    <row r="71" spans="1:23" x14ac:dyDescent="0.35">
      <c r="A71" t="str">
        <f>A58&amp;" = ["&amp;A52&amp;" x "&amp;A55&amp;"] for each time period."</f>
        <v>(4g) = [(4d) x (4f)] for each time period.</v>
      </c>
      <c r="P71" t="str">
        <f>P58&amp;" = ["&amp;P52&amp;" x "&amp;P55&amp;"] for each time period."</f>
        <v>(4g) = [(4d) x (4f)] for each time period.</v>
      </c>
    </row>
    <row r="72" spans="1:23" x14ac:dyDescent="0.35">
      <c r="A72" t="str">
        <f>A59&amp;" = ["&amp;A58&amp;" x "&amp;A64&amp;" selected Cost of capital rate]."</f>
        <v>(4h) = [(4g) x (4k) selected Cost of capital rate].</v>
      </c>
      <c r="P72" t="str">
        <f>P59&amp;" = ["&amp;P58&amp;" x "&amp;P64&amp;" selected Cost of capital rate]."</f>
        <v>(4h) = [(4g) x (4k) selected Cost of capital rate].</v>
      </c>
    </row>
    <row r="73" spans="1:23" x14ac:dyDescent="0.35">
      <c r="A73" t="str">
        <f>A60&amp;" = [(1 + "&amp;A53&amp;")^(T0 -Ti)] where i = 1, 2, .... 10."</f>
        <v>(4i) = [(1 + (4e))^(T0 -Ti)] where i = 1, 2, .... 10.</v>
      </c>
      <c r="P73" t="str">
        <f>P60&amp;" = [(1 + "&amp;P53&amp;")^(T0 -Ti)] where i = 1, 2, .... 10."</f>
        <v>(4i) = [(1 + (4e))^(T0 -Ti)] where i = 1, 2, .... 10.</v>
      </c>
    </row>
    <row r="74" spans="1:23" x14ac:dyDescent="0.35">
      <c r="A74" t="str">
        <f>A61&amp;" = ["&amp;A59&amp;" x "&amp;A60&amp;"]."</f>
        <v>(4j) = [(4h) x (4i)].</v>
      </c>
      <c r="P74" t="str">
        <f>P61&amp;" = ["&amp;P59&amp;" x "&amp;P60&amp;"]."</f>
        <v>(4j) = [(4h) x (4i)].</v>
      </c>
    </row>
    <row r="75" spans="1:23" x14ac:dyDescent="0.35">
      <c r="A75" t="str">
        <f>A64&amp;" Risk Adjustment = sum all time periods of "&amp;A61&amp;"; Confidence Level is based on the parameters selected in "&amp;A22&amp;" and "&amp;A23&amp;"."</f>
        <v>(4k) Risk Adjustment = sum all time periods of (4j); Confidence Level is based on the parameters selected in (2a) and (2b).</v>
      </c>
      <c r="P75" t="str">
        <f>P64&amp;" Risk Adjustment = sum all time periods of "&amp;P61&amp;"; Confidence Level is based on the parameters selected in "&amp;P22&amp;" and "&amp;P23&amp;"."</f>
        <v>(4k) Risk Adjustment = sum all time periods of (4j); Confidence Level is based on the parameters selected in (2a) and (2b).</v>
      </c>
    </row>
    <row r="76" spans="1:23" x14ac:dyDescent="0.35">
      <c r="A76" t="str">
        <f>A65&amp;" Implied CoC Rate from RA in "&amp;G33&amp;" = Implied RA in "&amp;G33&amp;"/ Discounted BoY capital."</f>
        <v>(4l) Implied CoC Rate from RA in (3b) = Implied RA in (3b)/ Discounted BoY capital.</v>
      </c>
      <c r="P76" t="str">
        <f>P65&amp;" Implied CoC Rate from RA in "&amp;V33&amp;" = Implied RA in "&amp;V33&amp;"/ Discounted BoY capital."</f>
        <v>(4l) Implied CoC Rate from RA in (3b) = Implied RA in (3b)/ Discounted BoY capital.</v>
      </c>
    </row>
    <row r="78" spans="1:23" x14ac:dyDescent="0.35">
      <c r="A78" s="10"/>
      <c r="P78" s="10"/>
    </row>
    <row r="79" spans="1:23" x14ac:dyDescent="0.35">
      <c r="A79" s="1" t="s">
        <v>12</v>
      </c>
      <c r="P79" s="1" t="s">
        <v>12</v>
      </c>
    </row>
    <row r="80" spans="1:23" ht="29" x14ac:dyDescent="0.35">
      <c r="C80" s="14" t="s">
        <v>14</v>
      </c>
      <c r="D80" s="12" t="s">
        <v>11</v>
      </c>
      <c r="E80" s="14" t="s">
        <v>35</v>
      </c>
      <c r="R80" s="14" t="s">
        <v>14</v>
      </c>
      <c r="S80" s="12" t="s">
        <v>11</v>
      </c>
      <c r="T80" s="14" t="s">
        <v>35</v>
      </c>
    </row>
    <row r="81" spans="1:20" x14ac:dyDescent="0.35">
      <c r="A81" s="10" t="s">
        <v>75</v>
      </c>
      <c r="B81" t="s">
        <v>19</v>
      </c>
      <c r="C81" s="23">
        <v>0.125</v>
      </c>
      <c r="D81" s="19">
        <f>C81*Implied_Mean_Gross</f>
        <v>6250.0000000000009</v>
      </c>
      <c r="E81" s="30">
        <f>LOGNORMDIST(D81+Implied_Mean_Gross,Lognormal_Mu_Gross,Lognormal_Sigma_Gross)</f>
        <v>0.75608305667440279</v>
      </c>
      <c r="P81" s="10" t="s">
        <v>75</v>
      </c>
      <c r="Q81" t="s">
        <v>19</v>
      </c>
      <c r="R81" s="23">
        <v>0.1</v>
      </c>
      <c r="S81" s="19">
        <f>R81*Implied_Mean_Net</f>
        <v>3999.9999999999973</v>
      </c>
      <c r="T81" s="30">
        <f>LOGNORMDIST(S81+Implied_Mean_Net,Lognormal_Mu_Net,Lognormal_Sigma_Net)</f>
        <v>0.79608101529314457</v>
      </c>
    </row>
    <row r="82" spans="1:20" ht="29" x14ac:dyDescent="0.35">
      <c r="A82" s="24" t="s">
        <v>76</v>
      </c>
      <c r="B82" s="25" t="s">
        <v>34</v>
      </c>
      <c r="C82" s="32">
        <f>D82/Implied_Mean_Gross</f>
        <v>0.12071522777994555</v>
      </c>
      <c r="D82" s="26">
        <f>$J$35</f>
        <v>6035.7613889972781</v>
      </c>
      <c r="E82" s="42">
        <f>Selected_VaR</f>
        <v>0.75</v>
      </c>
      <c r="P82" s="24" t="s">
        <v>76</v>
      </c>
      <c r="Q82" s="25" t="s">
        <v>34</v>
      </c>
      <c r="R82" s="32">
        <f>S82/Implied_Mean_Net</f>
        <v>7.9213508764188437E-2</v>
      </c>
      <c r="S82" s="26">
        <f>$Y$35</f>
        <v>3168.5403505675349</v>
      </c>
      <c r="T82" s="42">
        <f>Selected_VaR</f>
        <v>0.75</v>
      </c>
    </row>
    <row r="84" spans="1:20" x14ac:dyDescent="0.35">
      <c r="A84" t="s">
        <v>77</v>
      </c>
      <c r="P84" t="s">
        <v>77</v>
      </c>
    </row>
    <row r="85" spans="1:20" x14ac:dyDescent="0.35">
      <c r="A85" t="str">
        <f>A81&amp;" Risk Adjustment = Margin Factor x Implied Mean "&amp;A10&amp;"; Confidence Level is based on the parameters selected in "&amp;A22&amp;" and "&amp;A23&amp;"."</f>
        <v>(5a) Risk Adjustment = Margin Factor x Implied Mean (1a); Confidence Level is based on the parameters selected in (2a) and (2b).</v>
      </c>
      <c r="P85" t="str">
        <f>P81&amp;" Risk Adjustment = Margin Factor x Implied Mean "&amp;P10&amp;"; Confidence Level is based on the parameters selected in "&amp;P22&amp;" and "&amp;P23&amp;"."</f>
        <v>(5a) Risk Adjustment = Margin Factor x Implied Mean (1a); Confidence Level is based on the parameters selected in (2a) and (2b).</v>
      </c>
    </row>
    <row r="86" spans="1:20" x14ac:dyDescent="0.35">
      <c r="A86" t="s">
        <v>123</v>
      </c>
      <c r="P86" s="103" t="s">
        <v>124</v>
      </c>
    </row>
    <row r="87" spans="1:20" x14ac:dyDescent="0.35">
      <c r="A87" t="str">
        <f>A82&amp;" Implied Margin factor from RA in "&amp;G33&amp;" = Implied RA in "&amp;G33&amp;"/ Implied Mean "&amp;A10&amp;"."</f>
        <v>(5b) Implied Margin factor from RA in (3b) = Implied RA in (3b)/ Implied Mean (1a).</v>
      </c>
      <c r="P87" t="str">
        <f>P82&amp;" Implied Margin factor from RA in "&amp;V33&amp;" = Implied RA in "&amp;V33&amp;"/ Implied Mean "&amp;P10&amp;"."</f>
        <v>(5b) Implied Margin factor from RA in (3b) = Implied RA in (3b)/ Implied Mean (1a).</v>
      </c>
    </row>
  </sheetData>
  <mergeCells count="12">
    <mergeCell ref="Y8:Y9"/>
    <mergeCell ref="H33:H34"/>
    <mergeCell ref="I33:I34"/>
    <mergeCell ref="J33:J34"/>
    <mergeCell ref="W33:W34"/>
    <mergeCell ref="X33:X34"/>
    <mergeCell ref="Y33:Y34"/>
    <mergeCell ref="H8:H9"/>
    <mergeCell ref="I8:I9"/>
    <mergeCell ref="J8:J9"/>
    <mergeCell ref="W8:W9"/>
    <mergeCell ref="X8:X9"/>
  </mergeCells>
  <printOptions horizontalCentered="1"/>
  <pageMargins left="0.7" right="0.7" top="0.75" bottom="0.75" header="0.3" footer="0.3"/>
  <pageSetup scale="68" fitToWidth="2" fitToHeight="2" orientation="landscape" blackAndWhite="1" r:id="rId1"/>
  <headerFooter>
    <oddFooter>&amp;C&amp;A&amp;R&amp;D 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C86"/>
  <sheetViews>
    <sheetView tabSelected="1" view="pageBreakPreview" zoomScaleNormal="85" zoomScaleSheetLayoutView="100" workbookViewId="0">
      <selection activeCell="B50" sqref="B50"/>
    </sheetView>
  </sheetViews>
  <sheetFormatPr defaultRowHeight="14.5" x14ac:dyDescent="0.35"/>
  <cols>
    <col min="2" max="2" width="31.90625" customWidth="1"/>
    <col min="3" max="3" width="10.7265625" customWidth="1"/>
    <col min="4" max="4" width="13.81640625" bestFit="1" customWidth="1"/>
    <col min="5" max="5" width="13.26953125" customWidth="1"/>
    <col min="6" max="7" width="10.7265625" customWidth="1"/>
    <col min="8" max="8" width="12.453125" customWidth="1"/>
    <col min="9" max="14" width="10.7265625" customWidth="1"/>
    <col min="15" max="15" width="2.7265625" customWidth="1"/>
    <col min="17" max="17" width="32.08984375" customWidth="1"/>
    <col min="18" max="18" width="10.7265625" customWidth="1"/>
    <col min="19" max="19" width="13.81640625" bestFit="1" customWidth="1"/>
    <col min="20" max="20" width="12" customWidth="1"/>
    <col min="21" max="22" width="10.7265625" customWidth="1"/>
    <col min="23" max="23" width="12.453125" customWidth="1"/>
    <col min="24" max="29" width="10.7265625" customWidth="1"/>
  </cols>
  <sheetData>
    <row r="1" spans="1:29" x14ac:dyDescent="0.35">
      <c r="A1" s="55" t="str">
        <f>Info_Title</f>
        <v>IFRS 17 Risk Adjustment for Non-Financial Risk for Property and Casualty Actuaries</v>
      </c>
      <c r="N1" s="58">
        <v>3</v>
      </c>
      <c r="P1" s="55" t="str">
        <f>A1</f>
        <v>IFRS 17 Risk Adjustment for Non-Financial Risk for Property and Casualty Actuaries</v>
      </c>
      <c r="AC1" s="58">
        <f>N1</f>
        <v>3</v>
      </c>
    </row>
    <row r="2" spans="1:29" x14ac:dyDescent="0.35">
      <c r="A2" s="56" t="str">
        <f>Info_Project</f>
        <v>Illustrative Examples of Risk Adjustment Approach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9">
        <v>1</v>
      </c>
      <c r="P2" s="56" t="str">
        <f>Info_Project</f>
        <v>Illustrative Examples of Risk Adjustment Approach</v>
      </c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9">
        <f>N43+1</f>
        <v>3</v>
      </c>
    </row>
    <row r="3" spans="1:29" ht="18.5" x14ac:dyDescent="0.45">
      <c r="A3" s="33" t="s">
        <v>20</v>
      </c>
      <c r="P3" s="33" t="str">
        <f>A3</f>
        <v>Portfolio 2: Short-Tail</v>
      </c>
    </row>
    <row r="4" spans="1:29" ht="18.5" x14ac:dyDescent="0.45">
      <c r="A4" s="60" t="str">
        <f>info_Gross&amp;" in "&amp;Info_DollarUnit</f>
        <v>Gross of Reinsurance in (000)</v>
      </c>
      <c r="P4" s="60" t="str">
        <f>info_Net&amp;" in "&amp;Info_DollarUnit</f>
        <v>Net of Reinsurance in (000)</v>
      </c>
    </row>
    <row r="6" spans="1:29" x14ac:dyDescent="0.35">
      <c r="A6" s="1" t="s">
        <v>22</v>
      </c>
      <c r="G6" s="1" t="s">
        <v>91</v>
      </c>
      <c r="M6" s="1"/>
      <c r="P6" s="1" t="s">
        <v>22</v>
      </c>
      <c r="V6" s="1" t="s">
        <v>91</v>
      </c>
    </row>
    <row r="8" spans="1:29" x14ac:dyDescent="0.35">
      <c r="A8" s="1"/>
      <c r="D8" s="12" t="s">
        <v>87</v>
      </c>
      <c r="G8" s="10" t="s">
        <v>59</v>
      </c>
      <c r="H8" s="113" t="s">
        <v>35</v>
      </c>
      <c r="I8" s="113" t="s">
        <v>25</v>
      </c>
      <c r="J8" s="113" t="s">
        <v>16</v>
      </c>
      <c r="P8" s="1"/>
      <c r="S8" s="12" t="s">
        <v>52</v>
      </c>
      <c r="V8" s="10" t="s">
        <v>59</v>
      </c>
      <c r="W8" s="113" t="s">
        <v>35</v>
      </c>
      <c r="X8" s="113" t="s">
        <v>25</v>
      </c>
      <c r="Y8" s="113" t="s">
        <v>16</v>
      </c>
    </row>
    <row r="9" spans="1:29" x14ac:dyDescent="0.35">
      <c r="C9" s="12" t="s">
        <v>17</v>
      </c>
      <c r="D9" s="12" t="s">
        <v>53</v>
      </c>
      <c r="H9" s="114"/>
      <c r="I9" s="114"/>
      <c r="J9" s="114"/>
      <c r="R9" s="12" t="s">
        <v>17</v>
      </c>
      <c r="S9" s="12" t="s">
        <v>53</v>
      </c>
      <c r="W9" s="114"/>
      <c r="X9" s="114"/>
      <c r="Y9" s="114"/>
    </row>
    <row r="10" spans="1:29" x14ac:dyDescent="0.35">
      <c r="A10" s="10" t="s">
        <v>54</v>
      </c>
      <c r="B10" t="s">
        <v>88</v>
      </c>
      <c r="C10" s="15">
        <v>10000</v>
      </c>
      <c r="D10" s="16">
        <f>EXP(Lognormal_Mu_Gross+(Lognormal_Sigma_Gross^2)/2)</f>
        <v>10000.000000000009</v>
      </c>
      <c r="G10" s="10"/>
      <c r="H10" s="13">
        <v>0.05</v>
      </c>
      <c r="I10" s="19">
        <f t="shared" ref="I10:I29" si="0">LOGINV(H10,Lognormal_Mu_Gross,Lognormal_Sigma_Gross)</f>
        <v>5909.9205641359458</v>
      </c>
      <c r="J10" s="29">
        <f t="shared" ref="J10:J31" si="1">I10-Implied_Mean_Gross</f>
        <v>-4090.0794358640633</v>
      </c>
      <c r="P10" s="10" t="s">
        <v>54</v>
      </c>
      <c r="Q10" t="s">
        <v>88</v>
      </c>
      <c r="R10" s="15">
        <v>8000</v>
      </c>
      <c r="S10" s="16">
        <f>EXP(Lognormal_Mu_Net+(Lognormal_Sigma_Net^2)/2)</f>
        <v>8000</v>
      </c>
      <c r="V10" s="10"/>
      <c r="W10" s="13">
        <v>0.05</v>
      </c>
      <c r="X10" s="19">
        <f t="shared" ref="X10:X31" si="2">LOGINV(W10,Lognormal_Mu_Net,Lognormal_Sigma_Net)</f>
        <v>4727.9364513087521</v>
      </c>
      <c r="Y10" s="29">
        <f t="shared" ref="Y10:Y31" si="3">X10-Implied_Mean_Net</f>
        <v>-3272.0635486912479</v>
      </c>
    </row>
    <row r="11" spans="1:29" x14ac:dyDescent="0.35">
      <c r="A11" s="10" t="s">
        <v>55</v>
      </c>
      <c r="B11" t="s">
        <v>89</v>
      </c>
      <c r="C11" s="15">
        <v>3000</v>
      </c>
      <c r="D11" s="16">
        <f>SQRT(EXP(2*Lognormal_Mu_Gross+((2*Lognormal_Sigma_Gross)^2)/2)-D10^2)</f>
        <v>2999.99999999999</v>
      </c>
      <c r="F11" s="7"/>
      <c r="H11" s="13">
        <v>0.1</v>
      </c>
      <c r="I11" s="19">
        <f t="shared" si="0"/>
        <v>6575.0585391500163</v>
      </c>
      <c r="J11" s="29">
        <f t="shared" si="1"/>
        <v>-3424.9414608499928</v>
      </c>
      <c r="P11" s="10" t="s">
        <v>55</v>
      </c>
      <c r="Q11" t="s">
        <v>89</v>
      </c>
      <c r="R11" s="15">
        <v>2400</v>
      </c>
      <c r="S11" s="16">
        <f>SQRT(EXP(2*Lognormal_Mu_Net+((2*Lognormal_Sigma_Net)^2)/2)-S10^2)</f>
        <v>2399.9999999999909</v>
      </c>
      <c r="U11" s="7"/>
      <c r="W11" s="13">
        <v>0.1</v>
      </c>
      <c r="X11" s="19">
        <f t="shared" si="2"/>
        <v>5260.0468313200081</v>
      </c>
      <c r="Y11" s="29">
        <f t="shared" si="3"/>
        <v>-2739.9531686799919</v>
      </c>
    </row>
    <row r="12" spans="1:29" x14ac:dyDescent="0.35">
      <c r="A12" s="10" t="s">
        <v>56</v>
      </c>
      <c r="B12" t="s">
        <v>90</v>
      </c>
      <c r="C12" s="21">
        <f>C11/C10</f>
        <v>0.3</v>
      </c>
      <c r="D12" s="21">
        <f>ROUND(D11/D10,5)</f>
        <v>0.3</v>
      </c>
      <c r="H12" s="13">
        <v>0.15</v>
      </c>
      <c r="I12" s="19">
        <f t="shared" si="0"/>
        <v>7065.6178605085734</v>
      </c>
      <c r="J12" s="29">
        <f t="shared" si="1"/>
        <v>-2934.3821394914357</v>
      </c>
      <c r="P12" s="10" t="s">
        <v>56</v>
      </c>
      <c r="Q12" t="s">
        <v>90</v>
      </c>
      <c r="R12" s="21">
        <f>R11/R10</f>
        <v>0.3</v>
      </c>
      <c r="S12" s="21">
        <f>ROUND(S11/S10,5)</f>
        <v>0.3</v>
      </c>
      <c r="W12" s="13">
        <v>0.15</v>
      </c>
      <c r="X12" s="19">
        <f t="shared" si="2"/>
        <v>5652.4942884068541</v>
      </c>
      <c r="Y12" s="29">
        <f t="shared" si="3"/>
        <v>-2347.5057115931459</v>
      </c>
    </row>
    <row r="13" spans="1:29" x14ac:dyDescent="0.35">
      <c r="C13" s="12"/>
      <c r="D13" s="12"/>
      <c r="H13" s="13">
        <v>0.2</v>
      </c>
      <c r="I13" s="19">
        <f t="shared" si="0"/>
        <v>7481.4722418503407</v>
      </c>
      <c r="J13" s="29">
        <f t="shared" si="1"/>
        <v>-2518.5277581496684</v>
      </c>
      <c r="R13" s="12"/>
      <c r="S13" s="12"/>
      <c r="W13" s="13">
        <v>0.2</v>
      </c>
      <c r="X13" s="19">
        <f t="shared" si="2"/>
        <v>5985.1777934802676</v>
      </c>
      <c r="Y13" s="29">
        <f t="shared" si="3"/>
        <v>-2014.8222065197324</v>
      </c>
    </row>
    <row r="14" spans="1:29" x14ac:dyDescent="0.35">
      <c r="A14" t="s">
        <v>77</v>
      </c>
      <c r="C14" s="12"/>
      <c r="D14" s="12"/>
      <c r="H14" s="13">
        <v>0.25</v>
      </c>
      <c r="I14" s="19">
        <f t="shared" si="0"/>
        <v>7857.6908479815374</v>
      </c>
      <c r="J14" s="29">
        <f t="shared" si="1"/>
        <v>-2142.3091520184717</v>
      </c>
      <c r="P14" t="s">
        <v>77</v>
      </c>
      <c r="R14" s="12"/>
      <c r="S14" s="12"/>
      <c r="W14" s="13">
        <v>0.25</v>
      </c>
      <c r="X14" s="19">
        <f t="shared" si="2"/>
        <v>6286.152678385225</v>
      </c>
      <c r="Y14" s="29">
        <f t="shared" si="3"/>
        <v>-1713.847321614775</v>
      </c>
    </row>
    <row r="15" spans="1:29" x14ac:dyDescent="0.35">
      <c r="A15" t="str">
        <f>A10&amp;"-"&amp;A11&amp;" Data are judgementally selected;"</f>
        <v>(1a)-(1b) Data are judgementally selected;</v>
      </c>
      <c r="C15" s="12"/>
      <c r="D15" s="12"/>
      <c r="H15" s="13">
        <v>0.3</v>
      </c>
      <c r="I15" s="19">
        <f t="shared" si="0"/>
        <v>8211.6430514088661</v>
      </c>
      <c r="J15" s="29">
        <f t="shared" si="1"/>
        <v>-1788.356948591143</v>
      </c>
      <c r="P15" t="str">
        <f>P10&amp;"-"&amp;P11&amp;" Data are judgementally selected;"</f>
        <v>(1a)-(1b) Data are judgementally selected;</v>
      </c>
      <c r="R15" s="12"/>
      <c r="S15" s="12"/>
      <c r="W15" s="13">
        <v>0.3</v>
      </c>
      <c r="X15" s="19">
        <f t="shared" si="2"/>
        <v>6569.3144411270869</v>
      </c>
      <c r="Y15" s="29">
        <f t="shared" si="3"/>
        <v>-1430.6855588729131</v>
      </c>
    </row>
    <row r="16" spans="1:29" x14ac:dyDescent="0.35">
      <c r="A16" s="101" t="str">
        <f>"Implied from selected are derived from selected parameters in "&amp;A22&amp;" and "&amp;A23&amp;"."</f>
        <v>Implied from selected are derived from selected parameters in (2a) and (2b).</v>
      </c>
      <c r="H16" s="13">
        <v>0.35</v>
      </c>
      <c r="I16" s="19">
        <f t="shared" si="0"/>
        <v>8553.8495606997567</v>
      </c>
      <c r="J16" s="29">
        <f t="shared" si="1"/>
        <v>-1446.1504393002524</v>
      </c>
      <c r="P16" s="101" t="str">
        <f>"Implied from selected are derived from selected parameters in "&amp;P22&amp;" and "&amp;P23&amp;"."</f>
        <v>Implied from selected are derived from selected parameters in (2a) and (2b).</v>
      </c>
      <c r="W16" s="13">
        <v>0.35</v>
      </c>
      <c r="X16" s="19">
        <f t="shared" si="2"/>
        <v>6843.0796485597994</v>
      </c>
      <c r="Y16" s="29">
        <f t="shared" si="3"/>
        <v>-1156.9203514402006</v>
      </c>
    </row>
    <row r="17" spans="1:25" x14ac:dyDescent="0.35">
      <c r="A17" t="str">
        <f>A12&amp;" = ["&amp;A11&amp;"/"&amp;A10&amp;"]"</f>
        <v>(1c) = [(1b)/(1a)]</v>
      </c>
      <c r="C17" s="12"/>
      <c r="D17" s="12"/>
      <c r="H17" s="13">
        <v>0.4</v>
      </c>
      <c r="I17" s="19">
        <f t="shared" si="0"/>
        <v>8891.7472671973155</v>
      </c>
      <c r="J17" s="29">
        <f t="shared" si="1"/>
        <v>-1108.2527328026936</v>
      </c>
      <c r="P17" t="str">
        <f>P12&amp;" = ["&amp;P11&amp;"/"&amp;P10&amp;"]"</f>
        <v>(1c) = [(1b)/(1a)]</v>
      </c>
      <c r="R17" s="12"/>
      <c r="S17" s="12"/>
      <c r="W17" s="13">
        <v>0.4</v>
      </c>
      <c r="X17" s="19">
        <f t="shared" si="2"/>
        <v>7113.3978137578461</v>
      </c>
      <c r="Y17" s="29">
        <f t="shared" si="3"/>
        <v>-886.60218624215395</v>
      </c>
    </row>
    <row r="18" spans="1:25" x14ac:dyDescent="0.35">
      <c r="C18" s="12"/>
      <c r="D18" s="12"/>
      <c r="H18" s="13">
        <v>0.45</v>
      </c>
      <c r="I18" s="19">
        <f t="shared" si="0"/>
        <v>9231.3661754707664</v>
      </c>
      <c r="J18" s="29">
        <f t="shared" si="1"/>
        <v>-768.6338245292427</v>
      </c>
      <c r="R18" s="12"/>
      <c r="S18" s="12"/>
      <c r="W18" s="13">
        <v>0.45</v>
      </c>
      <c r="X18" s="19">
        <f t="shared" si="2"/>
        <v>7385.0929403766067</v>
      </c>
      <c r="Y18" s="29">
        <f t="shared" si="3"/>
        <v>-614.90705962339325</v>
      </c>
    </row>
    <row r="19" spans="1:25" x14ac:dyDescent="0.35">
      <c r="A19" s="1" t="s">
        <v>23</v>
      </c>
      <c r="C19" s="12"/>
      <c r="D19" s="12"/>
      <c r="H19" s="13">
        <v>0.5</v>
      </c>
      <c r="I19" s="19">
        <f t="shared" si="0"/>
        <v>9578.2628522115247</v>
      </c>
      <c r="J19" s="29">
        <f t="shared" si="1"/>
        <v>-421.73714778848444</v>
      </c>
      <c r="P19" s="1" t="s">
        <v>23</v>
      </c>
      <c r="R19" s="12"/>
      <c r="S19" s="12"/>
      <c r="W19" s="13">
        <v>0.5</v>
      </c>
      <c r="X19" s="19">
        <f t="shared" si="2"/>
        <v>7662.6102817692135</v>
      </c>
      <c r="Y19" s="29">
        <f t="shared" si="3"/>
        <v>-337.38971823078646</v>
      </c>
    </row>
    <row r="20" spans="1:25" x14ac:dyDescent="0.35">
      <c r="A20" s="1"/>
      <c r="C20" s="12" t="s">
        <v>50</v>
      </c>
      <c r="D20" s="12"/>
      <c r="H20" s="13">
        <v>0.55000000000000004</v>
      </c>
      <c r="I20" s="19">
        <f t="shared" si="0"/>
        <v>9938.1952272494163</v>
      </c>
      <c r="J20" s="29">
        <f t="shared" si="1"/>
        <v>-61.804772750592747</v>
      </c>
      <c r="P20" s="1"/>
      <c r="R20" s="12" t="s">
        <v>50</v>
      </c>
      <c r="S20" s="12"/>
      <c r="W20" s="13">
        <v>0.55000000000000004</v>
      </c>
      <c r="X20" s="19">
        <f t="shared" si="2"/>
        <v>7950.5561817995258</v>
      </c>
      <c r="Y20" s="29">
        <f t="shared" si="3"/>
        <v>-49.443818200474198</v>
      </c>
    </row>
    <row r="21" spans="1:25" x14ac:dyDescent="0.35">
      <c r="A21" s="2"/>
      <c r="B21" s="2" t="s">
        <v>85</v>
      </c>
      <c r="C21" s="12" t="s">
        <v>51</v>
      </c>
      <c r="D21" s="14" t="s">
        <v>0</v>
      </c>
      <c r="H21" s="13">
        <v>0.6</v>
      </c>
      <c r="I21" s="19">
        <f t="shared" si="0"/>
        <v>10317.783053113335</v>
      </c>
      <c r="J21" s="29">
        <f t="shared" si="1"/>
        <v>317.78305311332588</v>
      </c>
      <c r="P21" s="2"/>
      <c r="Q21" s="2" t="s">
        <v>85</v>
      </c>
      <c r="R21" s="12" t="s">
        <v>51</v>
      </c>
      <c r="S21" s="14" t="s">
        <v>0</v>
      </c>
      <c r="W21" s="13">
        <v>0.6</v>
      </c>
      <c r="X21" s="19">
        <f t="shared" si="2"/>
        <v>8254.2264424906607</v>
      </c>
      <c r="Y21" s="29">
        <f t="shared" si="3"/>
        <v>254.2264424906607</v>
      </c>
    </row>
    <row r="22" spans="1:25" x14ac:dyDescent="0.35">
      <c r="A22" s="10" t="s">
        <v>57</v>
      </c>
      <c r="B22" t="s">
        <v>1</v>
      </c>
      <c r="C22" s="28">
        <f>LN(C10)-(C23^2)/2</f>
        <v>9.1672515238556578</v>
      </c>
      <c r="D22" s="17">
        <f>C22</f>
        <v>9.1672515238556578</v>
      </c>
      <c r="H22" s="13">
        <v>0.65</v>
      </c>
      <c r="I22" s="19">
        <f t="shared" si="0"/>
        <v>10725.360390667209</v>
      </c>
      <c r="J22" s="29">
        <f t="shared" si="1"/>
        <v>725.36039066719968</v>
      </c>
      <c r="P22" s="10" t="s">
        <v>57</v>
      </c>
      <c r="Q22" t="s">
        <v>1</v>
      </c>
      <c r="R22" s="28">
        <f>LN(R10)-(R23^2)/2</f>
        <v>8.9441079725414472</v>
      </c>
      <c r="S22" s="17">
        <f>R22</f>
        <v>8.9441079725414472</v>
      </c>
      <c r="W22" s="13">
        <v>0.65</v>
      </c>
      <c r="X22" s="19">
        <f t="shared" si="2"/>
        <v>8580.2883125337594</v>
      </c>
      <c r="Y22" s="29">
        <f t="shared" si="3"/>
        <v>580.28831253375938</v>
      </c>
    </row>
    <row r="23" spans="1:25" x14ac:dyDescent="0.35">
      <c r="A23" s="10" t="s">
        <v>58</v>
      </c>
      <c r="B23" t="s">
        <v>2</v>
      </c>
      <c r="C23" s="28">
        <f>SQRT(LN(C11^2+C10^2)-2*LN(C10))</f>
        <v>0.29356037920852268</v>
      </c>
      <c r="D23" s="17">
        <f>C23</f>
        <v>0.29356037920852268</v>
      </c>
      <c r="H23" s="13">
        <v>0.7</v>
      </c>
      <c r="I23" s="19">
        <f>LOGINV(H23,Lognormal_Mu_Gross,Lognormal_Sigma_Gross)</f>
        <v>11172.321871725168</v>
      </c>
      <c r="J23" s="29">
        <f t="shared" si="1"/>
        <v>1172.3218717251584</v>
      </c>
      <c r="P23" s="10" t="s">
        <v>58</v>
      </c>
      <c r="Q23" t="s">
        <v>2</v>
      </c>
      <c r="R23" s="28">
        <f>SQRT(LN(R11^2+R10^2)-2*LN(R10))</f>
        <v>0.29356037920852268</v>
      </c>
      <c r="S23" s="17">
        <f>R23</f>
        <v>0.29356037920852268</v>
      </c>
      <c r="W23" s="13">
        <v>0.7</v>
      </c>
      <c r="X23" s="19">
        <f t="shared" si="2"/>
        <v>8937.8574973801278</v>
      </c>
      <c r="Y23" s="29">
        <f t="shared" si="3"/>
        <v>937.85749738012782</v>
      </c>
    </row>
    <row r="24" spans="1:25" x14ac:dyDescent="0.35">
      <c r="C24" s="18"/>
      <c r="D24" s="18"/>
      <c r="H24" s="13">
        <v>0.75</v>
      </c>
      <c r="I24" s="19">
        <f t="shared" si="0"/>
        <v>11675.582692289554</v>
      </c>
      <c r="J24" s="29">
        <f t="shared" si="1"/>
        <v>1675.5826922895449</v>
      </c>
      <c r="R24" s="18"/>
      <c r="S24" s="18"/>
      <c r="W24" s="13">
        <v>0.75</v>
      </c>
      <c r="X24" s="19">
        <f t="shared" si="2"/>
        <v>9340.4661538316359</v>
      </c>
      <c r="Y24" s="29">
        <f t="shared" si="3"/>
        <v>1340.4661538316359</v>
      </c>
    </row>
    <row r="25" spans="1:25" x14ac:dyDescent="0.35">
      <c r="A25" t="s">
        <v>77</v>
      </c>
      <c r="C25" s="18"/>
      <c r="D25" s="18"/>
      <c r="H25" s="13">
        <v>0.8</v>
      </c>
      <c r="I25" s="19">
        <f t="shared" si="0"/>
        <v>12262.709303772686</v>
      </c>
      <c r="J25" s="29">
        <f t="shared" si="1"/>
        <v>2262.7093037726772</v>
      </c>
      <c r="P25" t="s">
        <v>77</v>
      </c>
      <c r="R25" s="18"/>
      <c r="S25" s="18"/>
      <c r="W25" s="13">
        <v>0.8</v>
      </c>
      <c r="X25" s="19">
        <f t="shared" si="2"/>
        <v>9810.1674430181411</v>
      </c>
      <c r="Y25" s="29">
        <f t="shared" si="3"/>
        <v>1810.1674430181411</v>
      </c>
    </row>
    <row r="26" spans="1:25" x14ac:dyDescent="0.35">
      <c r="A26" t="str">
        <f>A22&amp;" = ln "&amp;A10&amp;" - ("&amp;A23&amp;"^2)/2 for Method of Moment; Selected are based on Method of Moment."</f>
        <v>(2a) = ln (1a) - ((2b)^2)/2 for Method of Moment; Selected are based on Method of Moment.</v>
      </c>
      <c r="C26" s="18"/>
      <c r="D26" s="18"/>
      <c r="H26" s="13">
        <v>0.85</v>
      </c>
      <c r="I26" s="19">
        <f t="shared" si="0"/>
        <v>12984.443976064638</v>
      </c>
      <c r="J26" s="29">
        <f t="shared" si="1"/>
        <v>2984.4439760646292</v>
      </c>
      <c r="P26" t="str">
        <f>P22&amp;" = ln "&amp;P10&amp;" - ("&amp;P23&amp;"^2)/2 for Method of Moment; Selected are based on Method of Moment."</f>
        <v>(2a) = ln (1a) - ((2b)^2)/2 for Method of Moment; Selected are based on Method of Moment.</v>
      </c>
      <c r="R26" s="18"/>
      <c r="S26" s="18"/>
      <c r="W26" s="13">
        <v>0.85</v>
      </c>
      <c r="X26" s="19">
        <f t="shared" si="2"/>
        <v>10387.555180851703</v>
      </c>
      <c r="Y26" s="29">
        <f t="shared" si="3"/>
        <v>2387.555180851703</v>
      </c>
    </row>
    <row r="27" spans="1:25" x14ac:dyDescent="0.35">
      <c r="A27" t="str">
        <f>A23&amp;" = sqrt(ln ("&amp;A10&amp;"^2 + "&amp;A11&amp;"^2) - 2 x ln "&amp;A10&amp;") for Method of Moment;"</f>
        <v>(2b) = sqrt(ln ((1a)^2 + (1b)^2) - 2 x ln (1a)) for Method of Moment;</v>
      </c>
      <c r="C27" s="18"/>
      <c r="D27" s="18"/>
      <c r="H27" s="13">
        <v>0.9</v>
      </c>
      <c r="I27" s="19">
        <f t="shared" si="0"/>
        <v>13953.20189467321</v>
      </c>
      <c r="J27" s="29">
        <f t="shared" si="1"/>
        <v>3953.2018946732005</v>
      </c>
      <c r="P27" t="str">
        <f>P23&amp;" = sqrt(ln ("&amp;P10&amp;"^2 + "&amp;P11&amp;"^2) - 2 x ln "&amp;P10&amp;") for Method of Moment;"</f>
        <v>(2b) = sqrt(ln ((1a)^2 + (1b)^2) - 2 x ln (1a)) for Method of Moment;</v>
      </c>
      <c r="R27" s="18"/>
      <c r="S27" s="18"/>
      <c r="W27" s="13">
        <v>0.9</v>
      </c>
      <c r="X27" s="19">
        <f t="shared" si="2"/>
        <v>11162.561515738558</v>
      </c>
      <c r="Y27" s="29">
        <f t="shared" si="3"/>
        <v>3162.5615157385582</v>
      </c>
    </row>
    <row r="28" spans="1:25" x14ac:dyDescent="0.35">
      <c r="A28" s="101" t="s">
        <v>121</v>
      </c>
      <c r="H28" s="13">
        <v>0.95</v>
      </c>
      <c r="I28" s="19">
        <f t="shared" si="0"/>
        <v>15523.579085443847</v>
      </c>
      <c r="J28" s="29">
        <f t="shared" si="1"/>
        <v>5523.5790854438383</v>
      </c>
      <c r="P28" s="101" t="s">
        <v>121</v>
      </c>
      <c r="W28" s="13">
        <v>0.95</v>
      </c>
      <c r="X28" s="19">
        <f t="shared" si="2"/>
        <v>12418.863268355068</v>
      </c>
      <c r="Y28" s="29">
        <f t="shared" si="3"/>
        <v>4418.8632683550677</v>
      </c>
    </row>
    <row r="29" spans="1:25" x14ac:dyDescent="0.35">
      <c r="H29" s="13">
        <v>0.99</v>
      </c>
      <c r="I29" s="19">
        <f t="shared" si="0"/>
        <v>18961.674471751434</v>
      </c>
      <c r="J29" s="29">
        <f t="shared" si="1"/>
        <v>8961.6744717514248</v>
      </c>
      <c r="W29" s="13">
        <v>0.99</v>
      </c>
      <c r="X29" s="19">
        <f t="shared" si="2"/>
        <v>15169.339577401133</v>
      </c>
      <c r="Y29" s="29">
        <f t="shared" si="3"/>
        <v>7169.3395774011333</v>
      </c>
    </row>
    <row r="30" spans="1:25" x14ac:dyDescent="0.35">
      <c r="H30" s="13">
        <v>0.995</v>
      </c>
      <c r="I30" s="19">
        <f>LOGINV(H30,Lognormal_Mu_Gross,Lognormal_Sigma_Gross)</f>
        <v>20402.504685200045</v>
      </c>
      <c r="J30" s="29">
        <f t="shared" ref="J30" si="4">I30-Implied_Mean_Gross</f>
        <v>10402.504685200036</v>
      </c>
      <c r="W30" s="13">
        <v>0.995</v>
      </c>
      <c r="X30" s="19">
        <f t="shared" si="2"/>
        <v>16322.003748160023</v>
      </c>
      <c r="Y30" s="29">
        <f t="shared" si="3"/>
        <v>8322.003748160023</v>
      </c>
    </row>
    <row r="31" spans="1:25" x14ac:dyDescent="0.35">
      <c r="H31" s="13">
        <v>0.999</v>
      </c>
      <c r="I31" s="19">
        <f>LOGINV(H31,Lognormal_Mu_Gross,Lognormal_Sigma_Gross)</f>
        <v>23728.242670320426</v>
      </c>
      <c r="J31" s="29">
        <f t="shared" si="1"/>
        <v>13728.242670320416</v>
      </c>
      <c r="W31" s="13">
        <v>0.999</v>
      </c>
      <c r="X31" s="19">
        <f t="shared" si="2"/>
        <v>18982.594136256324</v>
      </c>
      <c r="Y31" s="29">
        <f t="shared" si="3"/>
        <v>10982.594136256324</v>
      </c>
    </row>
    <row r="32" spans="1:25" x14ac:dyDescent="0.35">
      <c r="H32" s="4"/>
      <c r="I32" s="5"/>
      <c r="J32" s="7"/>
      <c r="W32" s="4"/>
      <c r="X32" s="5"/>
      <c r="Y32" s="7"/>
    </row>
    <row r="33" spans="1:29" x14ac:dyDescent="0.35">
      <c r="G33" s="10" t="s">
        <v>60</v>
      </c>
      <c r="H33" s="113" t="s">
        <v>26</v>
      </c>
      <c r="I33" s="113" t="s">
        <v>25</v>
      </c>
      <c r="J33" s="113" t="s">
        <v>16</v>
      </c>
      <c r="V33" s="10" t="s">
        <v>60</v>
      </c>
      <c r="W33" s="113" t="s">
        <v>26</v>
      </c>
      <c r="X33" s="113" t="s">
        <v>25</v>
      </c>
      <c r="Y33" s="113" t="s">
        <v>16</v>
      </c>
    </row>
    <row r="34" spans="1:29" x14ac:dyDescent="0.35">
      <c r="H34" s="114"/>
      <c r="I34" s="114"/>
      <c r="J34" s="114"/>
      <c r="W34" s="114"/>
      <c r="X34" s="114"/>
      <c r="Y34" s="114"/>
    </row>
    <row r="35" spans="1:29" x14ac:dyDescent="0.35">
      <c r="H35" s="22">
        <f>Selected_VaR</f>
        <v>0.75</v>
      </c>
      <c r="I35" s="19">
        <f t="shared" ref="I35" si="5">LOGINV(H35,Lognormal_Mu_Gross,Lognormal_Sigma_Gross)</f>
        <v>11675.582692289554</v>
      </c>
      <c r="J35" s="29">
        <f>I35-Implied_Mean_Gross</f>
        <v>1675.5826922895449</v>
      </c>
      <c r="W35" s="22">
        <f>Selected_VaR</f>
        <v>0.75</v>
      </c>
      <c r="X35" s="19">
        <f>LOGINV(W35,Lognormal_Mu_Net,Lognormal_Sigma_Net)</f>
        <v>9340.4661538316359</v>
      </c>
      <c r="Y35" s="29">
        <f>X35-Implied_Mean_Net</f>
        <v>1340.4661538316359</v>
      </c>
    </row>
    <row r="37" spans="1:29" x14ac:dyDescent="0.35">
      <c r="G37" t="s">
        <v>77</v>
      </c>
      <c r="V37" t="s">
        <v>77</v>
      </c>
    </row>
    <row r="38" spans="1:29" x14ac:dyDescent="0.35">
      <c r="G38" t="str">
        <f>G8&amp;" Estimate future Cash flows based on the selected parameters in "&amp;A22&amp;" and "&amp;A23&amp;"."</f>
        <v>(3a) Estimate future Cash flows based on the selected parameters in (2a) and (2b).</v>
      </c>
      <c r="V38" t="str">
        <f>V8&amp;" Estimate future Cash flows based on the selected parameters in "&amp;P22&amp;" and "&amp;P23&amp;"."</f>
        <v>(3a) Estimate future Cash flows based on the selected parameters in (2a) and (2b).</v>
      </c>
    </row>
    <row r="39" spans="1:29" x14ac:dyDescent="0.35">
      <c r="G39" t="str">
        <f>"         Implied RA = Estimated Future CFs - Implied mean from selected parameters "&amp;A10&amp;"."</f>
        <v xml:space="preserve">         Implied RA = Estimated Future CFs - Implied mean from selected parameters (1a).</v>
      </c>
      <c r="V39" t="str">
        <f>"         Implied RA = Estimated Future CFs - Implied mean from selected parameters "&amp;P10&amp;"."</f>
        <v xml:space="preserve">         Implied RA = Estimated Future CFs - Implied mean from selected parameters (1a).</v>
      </c>
    </row>
    <row r="40" spans="1:29" x14ac:dyDescent="0.35">
      <c r="G40" t="str">
        <f>G33&amp;" based on selected lognormal distribution in line with results in "&amp;G8&amp;"."</f>
        <v>(3b) based on selected lognormal distribution in line with results in (3a).</v>
      </c>
      <c r="V40" t="str">
        <f>V33&amp;" based on selected lognormal distribution in line with results in "&amp;V8&amp;"."</f>
        <v>(3b) based on selected lognormal distribution in line with results in (3a).</v>
      </c>
    </row>
    <row r="41" spans="1:29" ht="13.5" customHeight="1" x14ac:dyDescent="0.35"/>
    <row r="42" spans="1:29" s="78" customFormat="1" x14ac:dyDescent="0.35">
      <c r="A42" s="78" t="str">
        <f>A1</f>
        <v>IFRS 17 Risk Adjustment for Non-Financial Risk for Property and Casualty Actuaries</v>
      </c>
      <c r="N42" s="79">
        <f>N1</f>
        <v>3</v>
      </c>
      <c r="P42" s="78" t="str">
        <f>P1</f>
        <v>IFRS 17 Risk Adjustment for Non-Financial Risk for Property and Casualty Actuaries</v>
      </c>
      <c r="AC42" s="79">
        <f>AC1</f>
        <v>3</v>
      </c>
    </row>
    <row r="43" spans="1:29" s="78" customFormat="1" x14ac:dyDescent="0.35">
      <c r="A43" s="80" t="str">
        <f t="shared" ref="A43:A45" si="6">A2</f>
        <v>Illustrative Examples of Risk Adjustment Approach</v>
      </c>
      <c r="B43" s="80"/>
      <c r="C43" s="80"/>
      <c r="D43" s="80"/>
      <c r="E43" s="80"/>
      <c r="F43" s="80"/>
      <c r="G43" s="80"/>
      <c r="H43" s="80"/>
      <c r="I43" s="80"/>
      <c r="J43" s="80"/>
      <c r="K43" s="80"/>
      <c r="L43" s="80"/>
      <c r="M43" s="80"/>
      <c r="N43" s="81">
        <f>N2+1</f>
        <v>2</v>
      </c>
      <c r="P43" s="80" t="str">
        <f t="shared" ref="P43:P45" si="7">P2</f>
        <v>Illustrative Examples of Risk Adjustment Approach</v>
      </c>
      <c r="Q43" s="80"/>
      <c r="R43" s="80"/>
      <c r="S43" s="80"/>
      <c r="T43" s="80"/>
      <c r="U43" s="80"/>
      <c r="V43" s="80"/>
      <c r="W43" s="80"/>
      <c r="X43" s="80"/>
      <c r="Y43" s="80"/>
      <c r="Z43" s="80"/>
      <c r="AA43" s="80"/>
      <c r="AB43" s="80"/>
      <c r="AC43" s="81">
        <f>AC2+1</f>
        <v>4</v>
      </c>
    </row>
    <row r="44" spans="1:29" s="78" customFormat="1" ht="18.5" x14ac:dyDescent="0.45">
      <c r="A44" s="45" t="str">
        <f t="shared" si="6"/>
        <v>Portfolio 2: Short-Tail</v>
      </c>
      <c r="P44" s="45" t="str">
        <f t="shared" si="7"/>
        <v>Portfolio 2: Short-Tail</v>
      </c>
    </row>
    <row r="45" spans="1:29" s="78" customFormat="1" ht="18.5" x14ac:dyDescent="0.45">
      <c r="A45" s="45" t="str">
        <f t="shared" si="6"/>
        <v>Gross of Reinsurance in (000)</v>
      </c>
      <c r="P45" s="45" t="str">
        <f t="shared" si="7"/>
        <v>Net of Reinsurance in (000)</v>
      </c>
    </row>
    <row r="46" spans="1:29" ht="13.5" customHeight="1" x14ac:dyDescent="0.35"/>
    <row r="47" spans="1:29" x14ac:dyDescent="0.35">
      <c r="A47" s="1" t="s">
        <v>27</v>
      </c>
      <c r="G47" s="1"/>
      <c r="P47" s="1" t="s">
        <v>27</v>
      </c>
      <c r="V47" s="1"/>
    </row>
    <row r="48" spans="1:29" x14ac:dyDescent="0.35">
      <c r="A48" s="1"/>
      <c r="P48" s="1"/>
    </row>
    <row r="49" spans="1:28" x14ac:dyDescent="0.35">
      <c r="A49" s="10" t="s">
        <v>61</v>
      </c>
      <c r="B49" t="s">
        <v>24</v>
      </c>
      <c r="C49" s="22">
        <f>Selected_Risk_Appetite_Percentile</f>
        <v>0.99</v>
      </c>
      <c r="P49" s="10" t="s">
        <v>61</v>
      </c>
      <c r="Q49" t="s">
        <v>24</v>
      </c>
      <c r="R49" s="22">
        <f>Selected_Risk_Appetite_Percentile</f>
        <v>0.99</v>
      </c>
    </row>
    <row r="50" spans="1:28" x14ac:dyDescent="0.35">
      <c r="A50" s="10" t="s">
        <v>62</v>
      </c>
      <c r="B50" t="s">
        <v>28</v>
      </c>
      <c r="C50" s="31">
        <f>LOGINV(C49,Lognormal_Mu_Gross,Lognormal_Sigma_Gross)-Implied_Mean_Gross</f>
        <v>8961.6744717514248</v>
      </c>
      <c r="P50" s="10" t="s">
        <v>62</v>
      </c>
      <c r="Q50" t="s">
        <v>28</v>
      </c>
      <c r="R50" s="31">
        <f>LOGINV(R49,Lognormal_Mu_Net,Lognormal_Sigma_Net)-Implied_Mean_Net</f>
        <v>7169.3395774011333</v>
      </c>
    </row>
    <row r="51" spans="1:28" x14ac:dyDescent="0.35">
      <c r="A51" s="10" t="s">
        <v>63</v>
      </c>
      <c r="B51" t="s">
        <v>13</v>
      </c>
      <c r="C51" s="22">
        <v>1</v>
      </c>
      <c r="P51" s="10" t="s">
        <v>63</v>
      </c>
      <c r="Q51" t="s">
        <v>13</v>
      </c>
      <c r="R51" s="22">
        <v>1</v>
      </c>
    </row>
    <row r="52" spans="1:28" x14ac:dyDescent="0.35">
      <c r="A52" s="10" t="s">
        <v>64</v>
      </c>
      <c r="B52" t="s">
        <v>29</v>
      </c>
      <c r="C52" s="19">
        <f>C50*C51</f>
        <v>8961.6744717514248</v>
      </c>
      <c r="P52" s="10" t="s">
        <v>64</v>
      </c>
      <c r="Q52" t="s">
        <v>29</v>
      </c>
      <c r="R52" s="19">
        <f>R50*R51</f>
        <v>7169.3395774011333</v>
      </c>
    </row>
    <row r="53" spans="1:28" x14ac:dyDescent="0.35">
      <c r="A53" s="10" t="s">
        <v>65</v>
      </c>
      <c r="B53" t="s">
        <v>9</v>
      </c>
      <c r="C53" s="46">
        <f>Rf_Rate</f>
        <v>0.02</v>
      </c>
      <c r="P53" s="10" t="s">
        <v>65</v>
      </c>
      <c r="Q53" t="s">
        <v>9</v>
      </c>
      <c r="R53" s="46">
        <f>Rf_Rate</f>
        <v>0.02</v>
      </c>
    </row>
    <row r="55" spans="1:28" x14ac:dyDescent="0.35">
      <c r="A55" s="10" t="s">
        <v>68</v>
      </c>
      <c r="B55" t="s">
        <v>30</v>
      </c>
      <c r="C55" s="12" t="s">
        <v>3</v>
      </c>
      <c r="D55" s="12" t="s">
        <v>4</v>
      </c>
      <c r="E55" s="12" t="s">
        <v>5</v>
      </c>
      <c r="F55" s="12" t="s">
        <v>6</v>
      </c>
      <c r="G55" s="12" t="s">
        <v>7</v>
      </c>
      <c r="H55" s="12" t="s">
        <v>8</v>
      </c>
      <c r="I55" s="12" t="s">
        <v>36</v>
      </c>
      <c r="J55" s="12" t="s">
        <v>37</v>
      </c>
      <c r="K55" s="12" t="s">
        <v>38</v>
      </c>
      <c r="L55" s="12" t="s">
        <v>39</v>
      </c>
      <c r="M55" s="12" t="s">
        <v>40</v>
      </c>
      <c r="P55" s="10" t="s">
        <v>68</v>
      </c>
      <c r="Q55" t="s">
        <v>30</v>
      </c>
      <c r="R55" s="12" t="s">
        <v>3</v>
      </c>
      <c r="S55" s="12" t="s">
        <v>4</v>
      </c>
      <c r="T55" s="12" t="s">
        <v>5</v>
      </c>
      <c r="U55" s="12" t="s">
        <v>6</v>
      </c>
      <c r="V55" s="12" t="s">
        <v>7</v>
      </c>
      <c r="W55" s="12" t="s">
        <v>8</v>
      </c>
      <c r="X55" s="12" t="s">
        <v>36</v>
      </c>
      <c r="Y55" s="12" t="s">
        <v>37</v>
      </c>
      <c r="Z55" s="12" t="s">
        <v>38</v>
      </c>
      <c r="AA55" s="12" t="s">
        <v>39</v>
      </c>
      <c r="AB55" s="12" t="s">
        <v>40</v>
      </c>
    </row>
    <row r="56" spans="1:28" x14ac:dyDescent="0.35">
      <c r="B56" t="s">
        <v>92</v>
      </c>
      <c r="C56" s="20">
        <v>1</v>
      </c>
      <c r="D56" s="20">
        <v>0.35</v>
      </c>
      <c r="E56" s="20">
        <v>0</v>
      </c>
      <c r="F56" s="20">
        <v>0</v>
      </c>
      <c r="G56" s="20">
        <v>0</v>
      </c>
      <c r="H56" s="20">
        <v>0</v>
      </c>
      <c r="I56" s="20">
        <v>0</v>
      </c>
      <c r="J56" s="20">
        <v>0</v>
      </c>
      <c r="K56" s="20">
        <v>0</v>
      </c>
      <c r="L56" s="20">
        <v>0</v>
      </c>
      <c r="M56" s="20">
        <v>0</v>
      </c>
      <c r="Q56" t="s">
        <v>92</v>
      </c>
      <c r="R56" s="20">
        <v>1</v>
      </c>
      <c r="S56" s="20">
        <v>0.35</v>
      </c>
      <c r="T56" s="20">
        <v>0</v>
      </c>
      <c r="U56" s="20">
        <v>0</v>
      </c>
      <c r="V56" s="20">
        <v>0</v>
      </c>
      <c r="W56" s="20">
        <v>0</v>
      </c>
      <c r="X56" s="20">
        <v>0</v>
      </c>
      <c r="Y56" s="20">
        <v>0</v>
      </c>
      <c r="Z56" s="20">
        <v>0</v>
      </c>
      <c r="AA56" s="20">
        <v>0</v>
      </c>
      <c r="AB56" s="20">
        <v>0</v>
      </c>
    </row>
    <row r="58" spans="1:28" x14ac:dyDescent="0.35">
      <c r="A58" s="10" t="s">
        <v>69</v>
      </c>
      <c r="B58" t="s">
        <v>66</v>
      </c>
      <c r="C58" s="19">
        <f t="shared" ref="C58:H58" si="8">Capital_T0_Gross*C56</f>
        <v>8961.6744717514248</v>
      </c>
      <c r="D58" s="19">
        <f t="shared" si="8"/>
        <v>3136.5860651129983</v>
      </c>
      <c r="E58" s="19">
        <f t="shared" si="8"/>
        <v>0</v>
      </c>
      <c r="F58" s="19">
        <f t="shared" si="8"/>
        <v>0</v>
      </c>
      <c r="G58" s="19">
        <f t="shared" si="8"/>
        <v>0</v>
      </c>
      <c r="H58" s="19">
        <f t="shared" si="8"/>
        <v>0</v>
      </c>
      <c r="I58" s="19">
        <f t="shared" ref="I58:M58" si="9">Capital_T0_Gross*I56</f>
        <v>0</v>
      </c>
      <c r="J58" s="19">
        <f t="shared" si="9"/>
        <v>0</v>
      </c>
      <c r="K58" s="19">
        <f t="shared" si="9"/>
        <v>0</v>
      </c>
      <c r="L58" s="19">
        <f t="shared" si="9"/>
        <v>0</v>
      </c>
      <c r="M58" s="19">
        <f t="shared" si="9"/>
        <v>0</v>
      </c>
      <c r="P58" s="10" t="s">
        <v>69</v>
      </c>
      <c r="Q58" t="s">
        <v>66</v>
      </c>
      <c r="R58" s="19">
        <f t="shared" ref="R58:AB58" si="10">Capital_T0_Net*R56</f>
        <v>7169.3395774011333</v>
      </c>
      <c r="S58" s="19">
        <f t="shared" si="10"/>
        <v>2509.2688520903966</v>
      </c>
      <c r="T58" s="19">
        <f t="shared" si="10"/>
        <v>0</v>
      </c>
      <c r="U58" s="19">
        <f t="shared" si="10"/>
        <v>0</v>
      </c>
      <c r="V58" s="19">
        <f t="shared" si="10"/>
        <v>0</v>
      </c>
      <c r="W58" s="19">
        <f t="shared" si="10"/>
        <v>0</v>
      </c>
      <c r="X58" s="19">
        <f t="shared" si="10"/>
        <v>0</v>
      </c>
      <c r="Y58" s="19">
        <f t="shared" si="10"/>
        <v>0</v>
      </c>
      <c r="Z58" s="19">
        <f t="shared" si="10"/>
        <v>0</v>
      </c>
      <c r="AA58" s="19">
        <f t="shared" si="10"/>
        <v>0</v>
      </c>
      <c r="AB58" s="19">
        <f t="shared" si="10"/>
        <v>0</v>
      </c>
    </row>
    <row r="59" spans="1:28" x14ac:dyDescent="0.35">
      <c r="A59" s="10" t="s">
        <v>70</v>
      </c>
      <c r="B59" t="s">
        <v>15</v>
      </c>
      <c r="C59" s="19">
        <f t="shared" ref="C59:H59" si="11">CoC_Rate*C58</f>
        <v>896.16744717514257</v>
      </c>
      <c r="D59" s="19">
        <f t="shared" si="11"/>
        <v>313.65860651129987</v>
      </c>
      <c r="E59" s="19">
        <f t="shared" si="11"/>
        <v>0</v>
      </c>
      <c r="F59" s="19">
        <f t="shared" si="11"/>
        <v>0</v>
      </c>
      <c r="G59" s="19">
        <f t="shared" si="11"/>
        <v>0</v>
      </c>
      <c r="H59" s="19">
        <f t="shared" si="11"/>
        <v>0</v>
      </c>
      <c r="I59" s="19">
        <f t="shared" ref="I59:M59" si="12">CoC_Rate*I58</f>
        <v>0</v>
      </c>
      <c r="J59" s="19">
        <f t="shared" si="12"/>
        <v>0</v>
      </c>
      <c r="K59" s="19">
        <f t="shared" si="12"/>
        <v>0</v>
      </c>
      <c r="L59" s="19">
        <f t="shared" si="12"/>
        <v>0</v>
      </c>
      <c r="M59" s="19">
        <f t="shared" si="12"/>
        <v>0</v>
      </c>
      <c r="P59" s="10" t="s">
        <v>70</v>
      </c>
      <c r="Q59" t="s">
        <v>15</v>
      </c>
      <c r="R59" s="19">
        <f t="shared" ref="R59:AB59" si="13">CoC_Rate*R58</f>
        <v>716.93395774011333</v>
      </c>
      <c r="S59" s="19">
        <f t="shared" si="13"/>
        <v>250.92688520903968</v>
      </c>
      <c r="T59" s="19">
        <f t="shared" si="13"/>
        <v>0</v>
      </c>
      <c r="U59" s="19">
        <f t="shared" si="13"/>
        <v>0</v>
      </c>
      <c r="V59" s="19">
        <f t="shared" si="13"/>
        <v>0</v>
      </c>
      <c r="W59" s="19">
        <f t="shared" si="13"/>
        <v>0</v>
      </c>
      <c r="X59" s="19">
        <f t="shared" si="13"/>
        <v>0</v>
      </c>
      <c r="Y59" s="19">
        <f t="shared" si="13"/>
        <v>0</v>
      </c>
      <c r="Z59" s="19">
        <f t="shared" si="13"/>
        <v>0</v>
      </c>
      <c r="AA59" s="19">
        <f t="shared" si="13"/>
        <v>0</v>
      </c>
      <c r="AB59" s="19">
        <f t="shared" si="13"/>
        <v>0</v>
      </c>
    </row>
    <row r="60" spans="1:28" x14ac:dyDescent="0.35">
      <c r="A60" s="10" t="s">
        <v>71</v>
      </c>
      <c r="B60" t="s">
        <v>67</v>
      </c>
      <c r="C60" s="13">
        <f>(1+Rf_Rate)^-COUNTA($C$55:C55)</f>
        <v>0.98039215686274506</v>
      </c>
      <c r="D60" s="13">
        <f>(1+Rf_Rate)^-COUNTA($C$55:D55)</f>
        <v>0.96116878123798544</v>
      </c>
      <c r="E60" s="13">
        <f>(1+Rf_Rate)^-COUNTA($C$55:E55)</f>
        <v>0.94232233454704462</v>
      </c>
      <c r="F60" s="13">
        <f>(1+Rf_Rate)^-COUNTA($C$55:F55)</f>
        <v>0.9238454260265142</v>
      </c>
      <c r="G60" s="13">
        <f>(1+Rf_Rate)^-COUNTA($C$55:G55)</f>
        <v>0.90573080982991594</v>
      </c>
      <c r="H60" s="13">
        <f>(1+Rf_Rate)^-COUNTA($C$55:H55)</f>
        <v>0.88797138218619198</v>
      </c>
      <c r="I60" s="13">
        <f>(1+Rf_Rate)^-COUNTA($C$55:I55)</f>
        <v>0.87056017861391388</v>
      </c>
      <c r="J60" s="13">
        <f>(1+Rf_Rate)^-COUNTA($C$55:J55)</f>
        <v>0.85349037119011162</v>
      </c>
      <c r="K60" s="13">
        <f>(1+Rf_Rate)^-COUNTA($C$55:K55)</f>
        <v>0.83675526587265847</v>
      </c>
      <c r="L60" s="13">
        <f>(1+Rf_Rate)^-COUNTA($C$55:L55)</f>
        <v>0.82034829987515534</v>
      </c>
      <c r="M60" s="13">
        <f>(1+Rf_Rate)^-COUNTA($C$55:M55)</f>
        <v>0.80426303909328967</v>
      </c>
      <c r="P60" s="10" t="s">
        <v>71</v>
      </c>
      <c r="Q60" t="s">
        <v>67</v>
      </c>
      <c r="R60" s="13">
        <f>(1+Rf_Rate)^-COUNTA($R$55:R55)</f>
        <v>0.98039215686274506</v>
      </c>
      <c r="S60" s="13">
        <f>(1+Rf_Rate)^-COUNTA($R$55:S55)</f>
        <v>0.96116878123798544</v>
      </c>
      <c r="T60" s="13">
        <f>(1+Rf_Rate)^-COUNTA($R$55:T55)</f>
        <v>0.94232233454704462</v>
      </c>
      <c r="U60" s="13">
        <f>(1+Rf_Rate)^-COUNTA($R$55:U55)</f>
        <v>0.9238454260265142</v>
      </c>
      <c r="V60" s="13">
        <f>(1+Rf_Rate)^-COUNTA($R$55:V55)</f>
        <v>0.90573080982991594</v>
      </c>
      <c r="W60" s="13">
        <f>(1+Rf_Rate)^-COUNTA($R$55:W55)</f>
        <v>0.88797138218619198</v>
      </c>
      <c r="X60" s="13">
        <f>(1+Rf_Rate)^-COUNTA($R$55:X55)</f>
        <v>0.87056017861391388</v>
      </c>
      <c r="Y60" s="13">
        <f>(1+Rf_Rate)^-COUNTA($R$55:Y55)</f>
        <v>0.85349037119011162</v>
      </c>
      <c r="Z60" s="13">
        <f>(1+Rf_Rate)^-COUNTA($R$55:Z55)</f>
        <v>0.83675526587265847</v>
      </c>
      <c r="AA60" s="13">
        <f>(1+Rf_Rate)^-COUNTA($R$55:AA55)</f>
        <v>0.82034829987515534</v>
      </c>
      <c r="AB60" s="13">
        <f>(1+Rf_Rate)^-COUNTA($R$55:AB55)</f>
        <v>0.80426303909328967</v>
      </c>
    </row>
    <row r="61" spans="1:28" x14ac:dyDescent="0.35">
      <c r="A61" s="10" t="s">
        <v>72</v>
      </c>
      <c r="B61" t="s">
        <v>10</v>
      </c>
      <c r="C61" s="19">
        <f>C59*C60</f>
        <v>878.59553644621815</v>
      </c>
      <c r="D61" s="19">
        <f t="shared" ref="D61:H61" si="14">D59*D60</f>
        <v>301.47886054527095</v>
      </c>
      <c r="E61" s="19">
        <f t="shared" si="14"/>
        <v>0</v>
      </c>
      <c r="F61" s="19">
        <f t="shared" si="14"/>
        <v>0</v>
      </c>
      <c r="G61" s="19">
        <f t="shared" si="14"/>
        <v>0</v>
      </c>
      <c r="H61" s="19">
        <f t="shared" si="14"/>
        <v>0</v>
      </c>
      <c r="I61" s="19">
        <f t="shared" ref="I61:M61" si="15">I59*I60</f>
        <v>0</v>
      </c>
      <c r="J61" s="19">
        <f t="shared" si="15"/>
        <v>0</v>
      </c>
      <c r="K61" s="19">
        <f t="shared" si="15"/>
        <v>0</v>
      </c>
      <c r="L61" s="19">
        <f t="shared" si="15"/>
        <v>0</v>
      </c>
      <c r="M61" s="19">
        <f t="shared" si="15"/>
        <v>0</v>
      </c>
      <c r="P61" s="10" t="s">
        <v>72</v>
      </c>
      <c r="Q61" t="s">
        <v>10</v>
      </c>
      <c r="R61" s="19">
        <f>R59*R60</f>
        <v>702.87642915697381</v>
      </c>
      <c r="S61" s="19">
        <f t="shared" ref="S61:AB61" si="16">S59*S60</f>
        <v>241.18308843621654</v>
      </c>
      <c r="T61" s="19">
        <f t="shared" si="16"/>
        <v>0</v>
      </c>
      <c r="U61" s="19">
        <f t="shared" si="16"/>
        <v>0</v>
      </c>
      <c r="V61" s="19">
        <f t="shared" si="16"/>
        <v>0</v>
      </c>
      <c r="W61" s="19">
        <f t="shared" si="16"/>
        <v>0</v>
      </c>
      <c r="X61" s="19">
        <f t="shared" si="16"/>
        <v>0</v>
      </c>
      <c r="Y61" s="19">
        <f t="shared" si="16"/>
        <v>0</v>
      </c>
      <c r="Z61" s="19">
        <f t="shared" si="16"/>
        <v>0</v>
      </c>
      <c r="AA61" s="19">
        <f t="shared" si="16"/>
        <v>0</v>
      </c>
      <c r="AB61" s="19">
        <f t="shared" si="16"/>
        <v>0</v>
      </c>
    </row>
    <row r="62" spans="1:28" x14ac:dyDescent="0.35">
      <c r="C62" s="5"/>
      <c r="D62" s="5"/>
      <c r="E62" s="5"/>
      <c r="F62" s="5"/>
      <c r="G62" s="5"/>
      <c r="H62" s="5"/>
      <c r="R62" s="5"/>
      <c r="S62" s="5"/>
      <c r="T62" s="5"/>
      <c r="U62" s="5"/>
      <c r="V62" s="5"/>
      <c r="W62" s="5"/>
    </row>
    <row r="63" spans="1:28" ht="30" x14ac:dyDescent="0.45">
      <c r="C63" s="12" t="s">
        <v>32</v>
      </c>
      <c r="D63" s="12" t="s">
        <v>11</v>
      </c>
      <c r="E63" s="14" t="s">
        <v>35</v>
      </c>
      <c r="R63" s="12" t="s">
        <v>32</v>
      </c>
      <c r="S63" s="12" t="s">
        <v>11</v>
      </c>
      <c r="T63" s="14" t="s">
        <v>35</v>
      </c>
    </row>
    <row r="64" spans="1:28" x14ac:dyDescent="0.35">
      <c r="A64" s="10" t="s">
        <v>73</v>
      </c>
      <c r="B64" t="s">
        <v>18</v>
      </c>
      <c r="C64" s="46">
        <f>CoC_Rate</f>
        <v>0.1</v>
      </c>
      <c r="D64" s="19">
        <f>SUM(C61:M61)</f>
        <v>1180.074396991489</v>
      </c>
      <c r="E64" s="30">
        <f>LOGNORMDIST(D64+Implied_Mean_Gross,Lognormal_Mu_Gross,Lognormal_Sigma_Gross)</f>
        <v>0.70082106528812738</v>
      </c>
      <c r="P64" s="10" t="s">
        <v>73</v>
      </c>
      <c r="Q64" t="s">
        <v>18</v>
      </c>
      <c r="R64" s="46">
        <f>CoC_Rate</f>
        <v>0.1</v>
      </c>
      <c r="S64" s="19">
        <f>SUM(R61:AB61)</f>
        <v>944.05951759319032</v>
      </c>
      <c r="T64" s="30">
        <f>LOGNORMDIST(S64+Implied_Mean_Net,Lognormal_Mu_Net,Lognormal_Sigma_Net)</f>
        <v>0.70082106528812738</v>
      </c>
    </row>
    <row r="65" spans="1:23" ht="29" x14ac:dyDescent="0.35">
      <c r="A65" s="24" t="s">
        <v>74</v>
      </c>
      <c r="B65" s="25" t="s">
        <v>34</v>
      </c>
      <c r="C65" s="32">
        <f>D65/SUMPRODUCT(C58:M58,C60:M60)</f>
        <v>0.14198958104347634</v>
      </c>
      <c r="D65" s="26">
        <f>$J$35</f>
        <v>1675.5826922895449</v>
      </c>
      <c r="E65" s="42">
        <f>Selected_VaR</f>
        <v>0.75</v>
      </c>
      <c r="P65" s="24" t="s">
        <v>74</v>
      </c>
      <c r="Q65" s="25" t="s">
        <v>34</v>
      </c>
      <c r="R65" s="32">
        <f>S65/SUMPRODUCT(R58:AB58,R60:AB60)</f>
        <v>0.14198958104347645</v>
      </c>
      <c r="S65" s="26">
        <f>$Y$35</f>
        <v>1340.4661538316359</v>
      </c>
      <c r="T65" s="42">
        <f>Selected_VaR</f>
        <v>0.75</v>
      </c>
    </row>
    <row r="66" spans="1:23" x14ac:dyDescent="0.35">
      <c r="C66" s="9"/>
      <c r="D66" s="7"/>
      <c r="H66" s="102" t="s">
        <v>33</v>
      </c>
      <c r="R66" s="9"/>
      <c r="S66" s="7"/>
      <c r="W66" s="102" t="s">
        <v>33</v>
      </c>
    </row>
    <row r="67" spans="1:23" x14ac:dyDescent="0.35">
      <c r="A67" t="s">
        <v>77</v>
      </c>
      <c r="P67" t="s">
        <v>77</v>
      </c>
    </row>
    <row r="68" spans="1:23" x14ac:dyDescent="0.35">
      <c r="A68" t="str">
        <f>A49&amp;", "&amp;A51&amp;","&amp;A53&amp;", and "&amp;A55&amp;" Judgementally selected. "</f>
        <v xml:space="preserve">(4a), (4c),(4e), and (4f) Judgementally selected. </v>
      </c>
      <c r="P68" t="str">
        <f>P49&amp;", "&amp;P51&amp;","&amp;P53&amp;", and "&amp;P55&amp;" Judgementally selected. "</f>
        <v xml:space="preserve">(4a), (4c),(4e), and (4f) Judgementally selected. </v>
      </c>
    </row>
    <row r="69" spans="1:23" x14ac:dyDescent="0.35">
      <c r="A69" t="str">
        <f>A50&amp;" Look up from "&amp;G8&amp;" the required capital related to the selected risk appetite percentile in "&amp;A49&amp;"."</f>
        <v>(4b) Look up from (3a) the required capital related to the selected risk appetite percentile in (4a).</v>
      </c>
      <c r="P69" t="str">
        <f>P50&amp;" Look up from "&amp;V8&amp;" the required capital related to the selected risk appetite percentile in "&amp;P49&amp;"."</f>
        <v>(4b) Look up from (3a) the required capital related to the selected risk appetite percentile in (4a).</v>
      </c>
    </row>
    <row r="70" spans="1:23" x14ac:dyDescent="0.35">
      <c r="A70" t="str">
        <f>A52&amp;" = ["&amp;A50&amp;" x "&amp;A51&amp;"]."</f>
        <v>(4d) = [(4b) x (4c)].</v>
      </c>
      <c r="P70" t="str">
        <f>P52&amp;" = ["&amp;P50&amp;" x "&amp;P51&amp;"]."</f>
        <v>(4d) = [(4b) x (4c)].</v>
      </c>
    </row>
    <row r="71" spans="1:23" x14ac:dyDescent="0.35">
      <c r="A71" t="str">
        <f>A58&amp;" = ["&amp;A52&amp;" x "&amp;A55&amp;"] for each time period."</f>
        <v>(4g) = [(4d) x (4f)] for each time period.</v>
      </c>
      <c r="P71" t="str">
        <f>P58&amp;" = ["&amp;P52&amp;" x "&amp;P55&amp;"] for each time period."</f>
        <v>(4g) = [(4d) x (4f)] for each time period.</v>
      </c>
    </row>
    <row r="72" spans="1:23" x14ac:dyDescent="0.35">
      <c r="A72" t="str">
        <f>A59&amp;" = ["&amp;A58&amp;" x "&amp;A64&amp;" selected Cost of capital rate]."</f>
        <v>(4h) = [(4g) x (4k) selected Cost of capital rate].</v>
      </c>
      <c r="P72" t="str">
        <f>P59&amp;" = ["&amp;P58&amp;" x "&amp;P64&amp;" selected Cost of capital rate]."</f>
        <v>(4h) = [(4g) x (4k) selected Cost of capital rate].</v>
      </c>
    </row>
    <row r="73" spans="1:23" x14ac:dyDescent="0.35">
      <c r="A73" t="str">
        <f>A60&amp;" = [(1 + "&amp;A53&amp;")^(T0 -Ti)] where i = 1, 2, .... 10."</f>
        <v>(4i) = [(1 + (4e))^(T0 -Ti)] where i = 1, 2, .... 10.</v>
      </c>
      <c r="P73" t="str">
        <f>P60&amp;" = [(1 + "&amp;P53&amp;")^(T0 -Ti)] where i = 1, 2, .... 10."</f>
        <v>(4i) = [(1 + (4e))^(T0 -Ti)] where i = 1, 2, .... 10.</v>
      </c>
    </row>
    <row r="74" spans="1:23" x14ac:dyDescent="0.35">
      <c r="A74" t="str">
        <f>A61&amp;" = ["&amp;A59&amp;" x "&amp;A60&amp;"]."</f>
        <v>(4j) = [(4h) x (4i)].</v>
      </c>
      <c r="P74" t="str">
        <f>P61&amp;" = ["&amp;P59&amp;" x "&amp;P60&amp;"]."</f>
        <v>(4j) = [(4h) x (4i)].</v>
      </c>
    </row>
    <row r="75" spans="1:23" x14ac:dyDescent="0.35">
      <c r="A75" t="str">
        <f>A64&amp;" Risk Adjustment = sum all time periods of "&amp;A61&amp;"; Confidence Level is based on the parameters selected in "&amp;A22&amp;" and "&amp;A23&amp;"."</f>
        <v>(4k) Risk Adjustment = sum all time periods of (4j); Confidence Level is based on the parameters selected in (2a) and (2b).</v>
      </c>
      <c r="P75" t="str">
        <f>P64&amp;" Risk Adjustment = sum all time periods of "&amp;P61&amp;"; Confidence Level is based on the parameters selected in "&amp;P22&amp;" and "&amp;P23&amp;"."</f>
        <v>(4k) Risk Adjustment = sum all time periods of (4j); Confidence Level is based on the parameters selected in (2a) and (2b).</v>
      </c>
    </row>
    <row r="76" spans="1:23" x14ac:dyDescent="0.35">
      <c r="A76" t="str">
        <f>A65&amp;" Implied CoC Rate from RA in "&amp;G33&amp;" = Implied RA in "&amp;G33&amp;"/ Discounted BoY capital."</f>
        <v>(4l) Implied CoC Rate from RA in (3b) = Implied RA in (3b)/ Discounted BoY capital.</v>
      </c>
      <c r="P76" t="str">
        <f>P65&amp;" Implied CoC Rate from RA in "&amp;V33&amp;" = Implied RA in "&amp;V33&amp;"/ Discounted BoY capital."</f>
        <v>(4l) Implied CoC Rate from RA in (3b) = Implied RA in (3b)/ Discounted BoY capital.</v>
      </c>
    </row>
    <row r="78" spans="1:23" x14ac:dyDescent="0.35">
      <c r="A78" s="10"/>
      <c r="P78" s="10"/>
    </row>
    <row r="79" spans="1:23" x14ac:dyDescent="0.35">
      <c r="A79" s="1" t="s">
        <v>12</v>
      </c>
      <c r="P79" s="1" t="s">
        <v>12</v>
      </c>
    </row>
    <row r="80" spans="1:23" ht="29" x14ac:dyDescent="0.35">
      <c r="C80" s="14" t="s">
        <v>14</v>
      </c>
      <c r="D80" s="12" t="s">
        <v>11</v>
      </c>
      <c r="E80" s="14" t="s">
        <v>35</v>
      </c>
      <c r="R80" s="14" t="s">
        <v>14</v>
      </c>
      <c r="S80" s="12" t="s">
        <v>11</v>
      </c>
      <c r="T80" s="14" t="s">
        <v>35</v>
      </c>
    </row>
    <row r="81" spans="1:20" x14ac:dyDescent="0.35">
      <c r="A81" s="10" t="s">
        <v>75</v>
      </c>
      <c r="B81" t="s">
        <v>19</v>
      </c>
      <c r="C81" s="23">
        <v>0.05</v>
      </c>
      <c r="D81" s="19">
        <f>C81*Implied_Mean_Gross</f>
        <v>500.00000000000045</v>
      </c>
      <c r="E81" s="30">
        <f>LOGNORMDIST(D81+Implied_Mean_Gross,Lognormal_Mu_Gross,Lognormal_Sigma_Gross)</f>
        <v>0.62285269882582162</v>
      </c>
      <c r="P81" s="10" t="s">
        <v>75</v>
      </c>
      <c r="Q81" t="s">
        <v>19</v>
      </c>
      <c r="R81" s="23">
        <v>0.05</v>
      </c>
      <c r="S81" s="19">
        <f>R81*Implied_Mean_Net</f>
        <v>400</v>
      </c>
      <c r="T81" s="30">
        <f>LOGNORMDIST(S81+Implied_Mean_Net,Lognormal_Mu_Net,Lognormal_Sigma_Net)</f>
        <v>0.62285269882582162</v>
      </c>
    </row>
    <row r="82" spans="1:20" ht="29" x14ac:dyDescent="0.35">
      <c r="A82" s="24" t="s">
        <v>76</v>
      </c>
      <c r="B82" s="25" t="s">
        <v>34</v>
      </c>
      <c r="C82" s="32">
        <f>D82/Implied_Mean_Gross</f>
        <v>0.16755826922895434</v>
      </c>
      <c r="D82" s="26">
        <f>$J$35</f>
        <v>1675.5826922895449</v>
      </c>
      <c r="E82" s="42">
        <f>Selected_VaR</f>
        <v>0.75</v>
      </c>
      <c r="P82" s="24" t="s">
        <v>76</v>
      </c>
      <c r="Q82" s="25" t="s">
        <v>34</v>
      </c>
      <c r="R82" s="32">
        <f>S82/Implied_Mean_Net</f>
        <v>0.16755826922895448</v>
      </c>
      <c r="S82" s="26">
        <f>$Y$35</f>
        <v>1340.4661538316359</v>
      </c>
      <c r="T82" s="42">
        <f>Selected_VaR</f>
        <v>0.75</v>
      </c>
    </row>
    <row r="84" spans="1:20" x14ac:dyDescent="0.35">
      <c r="A84" t="s">
        <v>77</v>
      </c>
      <c r="P84" t="s">
        <v>77</v>
      </c>
    </row>
    <row r="85" spans="1:20" x14ac:dyDescent="0.35">
      <c r="A85" t="str">
        <f>A81&amp;" Risk Adjustment = Margin Factor x Implied Mean "&amp;A10&amp;"; Confidence Level is based on the parameters selected in "&amp;A22&amp;" and "&amp;A23&amp;"."</f>
        <v>(5a) Risk Adjustment = Margin Factor x Implied Mean (1a); Confidence Level is based on the parameters selected in (2a) and (2b).</v>
      </c>
      <c r="P85" t="str">
        <f>P81&amp;" Risk Adjustment = Margin Factor x Implied Mean "&amp;P10&amp;"; Confidence Level is based on the parameters selected in "&amp;P22&amp;" and "&amp;P23&amp;"."</f>
        <v>(5a) Risk Adjustment = Margin Factor x Implied Mean (1a); Confidence Level is based on the parameters selected in (2a) and (2b).</v>
      </c>
    </row>
    <row r="86" spans="1:20" x14ac:dyDescent="0.35">
      <c r="A86" t="str">
        <f>A82&amp;" Implied Margin factor from RA in "&amp;G33&amp;" = Implied RA in "&amp;G33&amp;"/ Implied Mean "&amp;A10&amp;"."</f>
        <v>(5b) Implied Margin factor from RA in (3b) = Implied RA in (3b)/ Implied Mean (1a).</v>
      </c>
      <c r="P86" t="str">
        <f>P82&amp;" Implied Margin factor from RA in "&amp;V33&amp;" = Implied RA in "&amp;V33&amp;"/ Implied Mean "&amp;P10&amp;"."</f>
        <v>(5b) Implied Margin factor from RA in (3b) = Implied RA in (3b)/ Implied Mean (1a).</v>
      </c>
    </row>
  </sheetData>
  <mergeCells count="12">
    <mergeCell ref="Y8:Y9"/>
    <mergeCell ref="H33:H34"/>
    <mergeCell ref="I33:I34"/>
    <mergeCell ref="J33:J34"/>
    <mergeCell ref="W33:W34"/>
    <mergeCell ref="X33:X34"/>
    <mergeCell ref="Y33:Y34"/>
    <mergeCell ref="H8:H9"/>
    <mergeCell ref="I8:I9"/>
    <mergeCell ref="J8:J9"/>
    <mergeCell ref="W8:W9"/>
    <mergeCell ref="X8:X9"/>
  </mergeCells>
  <printOptions horizontalCentered="1"/>
  <pageMargins left="0.7" right="0.7" top="0.75" bottom="0.75" header="0.3" footer="0.3"/>
  <pageSetup scale="69" orientation="landscape" blackAndWhite="1" r:id="rId1"/>
  <headerFooter>
    <oddFooter>&amp;C&amp;A&amp;R&amp;D &amp;T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C106"/>
  <sheetViews>
    <sheetView view="pageBreakPreview" topLeftCell="B1" zoomScaleNormal="85" zoomScaleSheetLayoutView="100" workbookViewId="0">
      <selection activeCell="B75" sqref="B75"/>
    </sheetView>
  </sheetViews>
  <sheetFormatPr defaultRowHeight="14.5" x14ac:dyDescent="0.35"/>
  <cols>
    <col min="1" max="1" width="4.7265625" customWidth="1"/>
    <col min="2" max="2" width="45.7265625" customWidth="1"/>
    <col min="3" max="4" width="10.7265625" customWidth="1"/>
    <col min="5" max="5" width="12" customWidth="1"/>
    <col min="6" max="14" width="10.7265625" customWidth="1"/>
    <col min="15" max="15" width="2.7265625" customWidth="1"/>
    <col min="16" max="16" width="4.7265625" customWidth="1"/>
    <col min="17" max="17" width="45.90625" customWidth="1"/>
    <col min="18" max="19" width="10.7265625" customWidth="1"/>
    <col min="20" max="20" width="12.453125" customWidth="1"/>
    <col min="21" max="29" width="10.7265625" customWidth="1"/>
  </cols>
  <sheetData>
    <row r="1" spans="1:29" x14ac:dyDescent="0.35">
      <c r="A1" s="55" t="str">
        <f>Info_Title</f>
        <v>IFRS 17 Risk Adjustment for Non-Financial Risk for Property and Casualty Actuaries</v>
      </c>
      <c r="N1" s="58">
        <v>4</v>
      </c>
      <c r="P1" s="78" t="str">
        <f>Info_Title</f>
        <v>IFRS 17 Risk Adjustment for Non-Financial Risk for Property and Casualty Actuaries</v>
      </c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9">
        <f>N1</f>
        <v>4</v>
      </c>
    </row>
    <row r="2" spans="1:29" x14ac:dyDescent="0.35">
      <c r="A2" s="56" t="str">
        <f>Info_Project</f>
        <v>Illustrative Examples of Risk Adjustment Approach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9">
        <v>1</v>
      </c>
      <c r="P2" s="80" t="str">
        <f>Info_Project</f>
        <v>Illustrative Examples of Risk Adjustment Approach</v>
      </c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1">
        <f>N62+1</f>
        <v>3</v>
      </c>
    </row>
    <row r="3" spans="1:29" ht="18.5" x14ac:dyDescent="0.45">
      <c r="A3" s="33" t="s">
        <v>122</v>
      </c>
      <c r="P3" s="45" t="str">
        <f>A3</f>
        <v>Total (Long-Tail and Short-Tail Portfolios Combined) - Monte Carlo Simulation</v>
      </c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</row>
    <row r="4" spans="1:29" ht="18.5" x14ac:dyDescent="0.45">
      <c r="A4" s="60" t="str">
        <f>info_Gross&amp;" in "&amp;Info_DollarUnit</f>
        <v>Gross of Reinsurance in (000)</v>
      </c>
      <c r="P4" s="45" t="str">
        <f>info_Net&amp;" in "&amp;Info_DollarUnit</f>
        <v>Net of Reinsurance in (000)</v>
      </c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</row>
    <row r="6" spans="1:29" x14ac:dyDescent="0.35">
      <c r="A6" s="1" t="s">
        <v>41</v>
      </c>
      <c r="P6" s="1" t="s">
        <v>41</v>
      </c>
    </row>
    <row r="7" spans="1:29" x14ac:dyDescent="0.35">
      <c r="A7" s="1"/>
      <c r="P7" s="1"/>
    </row>
    <row r="8" spans="1:29" x14ac:dyDescent="0.35">
      <c r="C8" s="12" t="s">
        <v>3</v>
      </c>
      <c r="D8" s="12" t="s">
        <v>4</v>
      </c>
      <c r="E8" s="12" t="s">
        <v>5</v>
      </c>
      <c r="F8" s="12" t="s">
        <v>6</v>
      </c>
      <c r="G8" s="12" t="s">
        <v>7</v>
      </c>
      <c r="H8" s="12" t="s">
        <v>8</v>
      </c>
      <c r="I8" s="12" t="s">
        <v>36</v>
      </c>
      <c r="J8" s="12" t="s">
        <v>37</v>
      </c>
      <c r="K8" s="12" t="s">
        <v>38</v>
      </c>
      <c r="L8" s="12" t="s">
        <v>39</v>
      </c>
      <c r="M8" s="12" t="s">
        <v>40</v>
      </c>
      <c r="R8" s="12" t="s">
        <v>3</v>
      </c>
      <c r="S8" s="12" t="s">
        <v>4</v>
      </c>
      <c r="T8" s="12" t="s">
        <v>5</v>
      </c>
      <c r="U8" s="12" t="s">
        <v>6</v>
      </c>
      <c r="V8" s="12" t="s">
        <v>7</v>
      </c>
      <c r="W8" s="12" t="s">
        <v>8</v>
      </c>
      <c r="X8" s="12" t="s">
        <v>36</v>
      </c>
      <c r="Y8" s="12" t="s">
        <v>37</v>
      </c>
      <c r="Z8" s="12" t="s">
        <v>38</v>
      </c>
      <c r="AA8" s="12" t="s">
        <v>39</v>
      </c>
      <c r="AB8" s="12" t="s">
        <v>40</v>
      </c>
    </row>
    <row r="9" spans="1:29" x14ac:dyDescent="0.35">
      <c r="A9" s="10" t="s">
        <v>54</v>
      </c>
      <c r="B9" t="s">
        <v>112</v>
      </c>
      <c r="C9" s="15">
        <f>59999.96914</f>
        <v>59999.969140000001</v>
      </c>
      <c r="D9" s="15">
        <f>40999.97763</f>
        <v>40999.977630000001</v>
      </c>
      <c r="E9" s="15">
        <f>29999.98264</f>
        <v>29999.982639999998</v>
      </c>
      <c r="F9" s="15">
        <f>22499.98698</f>
        <v>22499.986980000001</v>
      </c>
      <c r="G9" s="15">
        <f>17499.98988</f>
        <v>17499.989880000001</v>
      </c>
      <c r="H9" s="15">
        <f>12499.99277</f>
        <v>12499.992770000001</v>
      </c>
      <c r="I9" s="15">
        <f>9999.994215</f>
        <v>9999.9942150000006</v>
      </c>
      <c r="J9" s="15">
        <f>7499.995661</f>
        <v>7499.9956609999999</v>
      </c>
      <c r="K9" s="15">
        <f>4999.997107</f>
        <v>4999.9971070000001</v>
      </c>
      <c r="L9" s="15">
        <f>2499.998554</f>
        <v>2499.9985539999998</v>
      </c>
      <c r="M9" s="15">
        <f>0</f>
        <v>0</v>
      </c>
      <c r="P9" s="10" t="s">
        <v>54</v>
      </c>
      <c r="Q9" t="s">
        <v>112</v>
      </c>
      <c r="R9" s="15">
        <f>47999.9899</f>
        <v>47999.9899</v>
      </c>
      <c r="S9" s="15">
        <f>32799.99304</f>
        <v>32799.993040000001</v>
      </c>
      <c r="T9" s="15">
        <f>23999.99487</f>
        <v>23999.994869999999</v>
      </c>
      <c r="U9" s="15">
        <f>17999.99615</f>
        <v>17999.996149999999</v>
      </c>
      <c r="V9" s="15">
        <f>13999.997</f>
        <v>13999.996999999999</v>
      </c>
      <c r="W9" s="15">
        <f>9999.99786</f>
        <v>9999.9978599999995</v>
      </c>
      <c r="X9" s="15">
        <f>7999.998288</f>
        <v>7999.9982879999998</v>
      </c>
      <c r="Y9" s="15">
        <f>5999.998716</f>
        <v>5999.9987160000001</v>
      </c>
      <c r="Z9" s="15">
        <f>3999.999144</f>
        <v>3999.9991439999999</v>
      </c>
      <c r="AA9" s="15">
        <f>1999.999572</f>
        <v>1999.9995719999999</v>
      </c>
      <c r="AB9" s="15">
        <f>0</f>
        <v>0</v>
      </c>
    </row>
    <row r="10" spans="1:29" x14ac:dyDescent="0.35">
      <c r="A10" s="10" t="s">
        <v>55</v>
      </c>
      <c r="B10" t="s">
        <v>89</v>
      </c>
      <c r="C10" s="15">
        <f>11098.80501</f>
        <v>11098.80501</v>
      </c>
      <c r="P10" s="10" t="s">
        <v>55</v>
      </c>
      <c r="Q10" t="s">
        <v>89</v>
      </c>
      <c r="R10" s="15">
        <f>6038.150719</f>
        <v>6038.1507190000002</v>
      </c>
    </row>
    <row r="11" spans="1:29" x14ac:dyDescent="0.35">
      <c r="A11" s="10" t="s">
        <v>56</v>
      </c>
      <c r="B11" t="s">
        <v>90</v>
      </c>
      <c r="C11" s="18">
        <f>C10/C9</f>
        <v>0.18498017864147187</v>
      </c>
      <c r="P11" s="10" t="s">
        <v>56</v>
      </c>
      <c r="Q11" t="s">
        <v>90</v>
      </c>
      <c r="R11" s="18">
        <f>R10/R9</f>
        <v>0.12579483311516279</v>
      </c>
    </row>
    <row r="13" spans="1:29" x14ac:dyDescent="0.35">
      <c r="A13" t="s">
        <v>77</v>
      </c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P13" t="s">
        <v>77</v>
      </c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</row>
    <row r="14" spans="1:29" x14ac:dyDescent="0.35">
      <c r="A14" t="str">
        <f>A9&amp;"-"&amp;A10&amp;" Estimated from Monte-Carlo simulation."</f>
        <v>(1a)-(1b) Estimated from Monte-Carlo simulation.</v>
      </c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P14" t="str">
        <f>P9&amp;"-"&amp;P10&amp;" Estimated from Monte-Carlo simulation."</f>
        <v>(1a)-(1b) Estimated from Monte-Carlo simulation.</v>
      </c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</row>
    <row r="15" spans="1:29" x14ac:dyDescent="0.35">
      <c r="A15" t="str">
        <f>A11&amp;" = ["&amp;A10&amp;"/"&amp;A9&amp;"]"</f>
        <v>(1c) = [(1b)/(1a)]</v>
      </c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P15" t="str">
        <f>P11&amp;" = ["&amp;P10&amp;"/"&amp;P9&amp;"]"</f>
        <v>(1c) = [(1b)/(1a)]</v>
      </c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</row>
    <row r="17" spans="1:29" x14ac:dyDescent="0.35">
      <c r="A17" s="1" t="s">
        <v>21</v>
      </c>
      <c r="P17" s="1" t="s">
        <v>21</v>
      </c>
    </row>
    <row r="18" spans="1:29" x14ac:dyDescent="0.35">
      <c r="A18" s="1"/>
      <c r="P18" s="1"/>
    </row>
    <row r="19" spans="1:29" x14ac:dyDescent="0.35">
      <c r="A19" s="2"/>
      <c r="B19" s="2" t="s">
        <v>86</v>
      </c>
      <c r="C19" s="12" t="str">
        <f>B20</f>
        <v>Long-Tail</v>
      </c>
      <c r="D19" s="12" t="str">
        <f>B21</f>
        <v>Short-Tail</v>
      </c>
      <c r="P19" s="2"/>
      <c r="Q19" s="2" t="s">
        <v>86</v>
      </c>
      <c r="R19" s="12" t="str">
        <f>Q20</f>
        <v>Long-Tail</v>
      </c>
      <c r="S19" s="12" t="str">
        <f>Q21</f>
        <v>Short-Tail</v>
      </c>
    </row>
    <row r="20" spans="1:29" x14ac:dyDescent="0.35">
      <c r="A20" s="10" t="s">
        <v>57</v>
      </c>
      <c r="B20" t="str">
        <f>Scenarios!A26</f>
        <v>Long-Tail</v>
      </c>
      <c r="C20" s="17">
        <v>1</v>
      </c>
      <c r="D20" s="18">
        <f>C21</f>
        <v>0.25</v>
      </c>
      <c r="P20" s="10" t="s">
        <v>57</v>
      </c>
      <c r="Q20" t="str">
        <f>B20</f>
        <v>Long-Tail</v>
      </c>
      <c r="R20" s="17">
        <v>1</v>
      </c>
      <c r="S20" s="18">
        <f>R21</f>
        <v>0.25</v>
      </c>
    </row>
    <row r="21" spans="1:29" x14ac:dyDescent="0.35">
      <c r="A21" s="10" t="s">
        <v>58</v>
      </c>
      <c r="B21" t="str">
        <f>Scenarios!A27</f>
        <v>Short-Tail</v>
      </c>
      <c r="C21" s="17">
        <v>0.25</v>
      </c>
      <c r="D21" s="18">
        <f>C20</f>
        <v>1</v>
      </c>
      <c r="P21" s="10" t="s">
        <v>58</v>
      </c>
      <c r="Q21" t="str">
        <f>B21</f>
        <v>Short-Tail</v>
      </c>
      <c r="R21" s="17">
        <v>0.25</v>
      </c>
      <c r="S21" s="18">
        <f>R20</f>
        <v>1</v>
      </c>
    </row>
    <row r="22" spans="1:29" x14ac:dyDescent="0.35">
      <c r="A22" s="10"/>
      <c r="P22" s="10"/>
      <c r="R22" s="17"/>
      <c r="S22" s="18"/>
    </row>
    <row r="23" spans="1:29" x14ac:dyDescent="0.35">
      <c r="A23" t="s">
        <v>77</v>
      </c>
      <c r="P23" t="s">
        <v>77</v>
      </c>
      <c r="R23" s="17"/>
      <c r="S23" s="18"/>
    </row>
    <row r="24" spans="1:29" x14ac:dyDescent="0.35">
      <c r="A24" t="str">
        <f>A20&amp;"-"&amp;A21&amp;" Estimated correlation between portfolios."</f>
        <v>(2a)-(2b) Estimated correlation between portfolios.</v>
      </c>
      <c r="C24" s="17"/>
      <c r="D24" s="18"/>
      <c r="P24" t="str">
        <f>P20&amp;"-"&amp;P21&amp;" Estimated correlation between portfolios."</f>
        <v>(2a)-(2b) Estimated correlation between portfolios.</v>
      </c>
      <c r="R24" s="17"/>
      <c r="S24" s="18"/>
    </row>
    <row r="25" spans="1:29" x14ac:dyDescent="0.35">
      <c r="C25" s="17"/>
      <c r="D25" s="18"/>
      <c r="R25" s="17"/>
      <c r="S25" s="18"/>
    </row>
    <row r="27" spans="1:29" x14ac:dyDescent="0.35">
      <c r="A27" s="1" t="s">
        <v>110</v>
      </c>
      <c r="P27" s="1" t="s">
        <v>110</v>
      </c>
    </row>
    <row r="29" spans="1:29" x14ac:dyDescent="0.35">
      <c r="A29" s="10" t="s">
        <v>59</v>
      </c>
      <c r="B29" s="12" t="s">
        <v>111</v>
      </c>
      <c r="C29" s="12" t="s">
        <v>3</v>
      </c>
      <c r="D29" s="12" t="s">
        <v>4</v>
      </c>
      <c r="E29" s="12" t="s">
        <v>5</v>
      </c>
      <c r="F29" s="12" t="s">
        <v>6</v>
      </c>
      <c r="G29" s="12" t="s">
        <v>7</v>
      </c>
      <c r="H29" s="12" t="s">
        <v>8</v>
      </c>
      <c r="I29" s="12" t="s">
        <v>36</v>
      </c>
      <c r="J29" s="12" t="s">
        <v>37</v>
      </c>
      <c r="K29" s="12" t="s">
        <v>38</v>
      </c>
      <c r="L29" s="12" t="s">
        <v>39</v>
      </c>
      <c r="M29" s="12" t="s">
        <v>40</v>
      </c>
      <c r="N29" s="37" t="s">
        <v>16</v>
      </c>
      <c r="P29" s="10" t="s">
        <v>59</v>
      </c>
      <c r="Q29" s="12" t="str">
        <f>B29</f>
        <v>Confidence Level \ T</v>
      </c>
      <c r="R29" s="12" t="s">
        <v>3</v>
      </c>
      <c r="S29" s="12" t="s">
        <v>4</v>
      </c>
      <c r="T29" s="12" t="s">
        <v>5</v>
      </c>
      <c r="U29" s="12" t="s">
        <v>6</v>
      </c>
      <c r="V29" s="12" t="s">
        <v>7</v>
      </c>
      <c r="W29" s="12" t="s">
        <v>8</v>
      </c>
      <c r="X29" s="12" t="s">
        <v>36</v>
      </c>
      <c r="Y29" s="12" t="s">
        <v>37</v>
      </c>
      <c r="Z29" s="12" t="s">
        <v>38</v>
      </c>
      <c r="AA29" s="12" t="s">
        <v>39</v>
      </c>
      <c r="AB29" s="12" t="s">
        <v>40</v>
      </c>
      <c r="AC29" s="37" t="s">
        <v>16</v>
      </c>
    </row>
    <row r="30" spans="1:29" x14ac:dyDescent="0.35">
      <c r="A30" s="10"/>
      <c r="B30" s="13">
        <v>0.05</v>
      </c>
      <c r="C30" s="35">
        <f>43642.30965</f>
        <v>43642.309650000003</v>
      </c>
      <c r="D30" s="35">
        <f>29554.05336</f>
        <v>29554.053360000002</v>
      </c>
      <c r="E30" s="35">
        <f>21238.65083</f>
        <v>21238.650829999999</v>
      </c>
      <c r="F30" s="35">
        <f>15928.98812</f>
        <v>15928.98812</v>
      </c>
      <c r="G30" s="35">
        <f>12389.21299</f>
        <v>12389.21299</v>
      </c>
      <c r="H30" s="35">
        <f>8849.437847</f>
        <v>8849.4378469999992</v>
      </c>
      <c r="I30" s="35">
        <f>7079.550278</f>
        <v>7079.5502779999997</v>
      </c>
      <c r="J30" s="35">
        <f>5309.662708</f>
        <v>5309.6627079999998</v>
      </c>
      <c r="K30" s="35">
        <f>3539.775139</f>
        <v>3539.7751389999999</v>
      </c>
      <c r="L30" s="35">
        <f>1769.887569</f>
        <v>1769.887569</v>
      </c>
      <c r="M30" s="35">
        <f>0</f>
        <v>0</v>
      </c>
      <c r="N30" s="38">
        <f t="shared" ref="N30:N51" si="0">C30-Implied_Mean_Gross</f>
        <v>-16357.659489999998</v>
      </c>
      <c r="P30" s="10"/>
      <c r="Q30" s="13">
        <v>0.05</v>
      </c>
      <c r="R30" s="35">
        <f>38764.06495</f>
        <v>38764.06495</v>
      </c>
      <c r="S30" s="35">
        <f>26613.5638</f>
        <v>26613.5638</v>
      </c>
      <c r="T30" s="35">
        <f>19404.06745</f>
        <v>19404.067449999999</v>
      </c>
      <c r="U30" s="35">
        <f>14553.05059</f>
        <v>14553.050590000001</v>
      </c>
      <c r="V30" s="35">
        <f>11319.03935</f>
        <v>11319.039349999999</v>
      </c>
      <c r="W30" s="35">
        <f>8085.028105</f>
        <v>8085.0281050000003</v>
      </c>
      <c r="X30" s="35">
        <f>6468.022484</f>
        <v>6468.0224840000001</v>
      </c>
      <c r="Y30" s="35">
        <f>4851.016863</f>
        <v>4851.0168629999998</v>
      </c>
      <c r="Z30" s="35">
        <f>3234.011242</f>
        <v>3234.011242</v>
      </c>
      <c r="AA30" s="35">
        <f>1617.005621</f>
        <v>1617.005621</v>
      </c>
      <c r="AB30" s="35">
        <f>0</f>
        <v>0</v>
      </c>
      <c r="AC30" s="38">
        <f t="shared" ref="AC30:AC51" si="1">R30-Implied_Mean_Net</f>
        <v>-9235.9249500000005</v>
      </c>
    </row>
    <row r="31" spans="1:29" x14ac:dyDescent="0.35">
      <c r="B31" s="13">
        <v>0.1</v>
      </c>
      <c r="C31" s="35">
        <f>46662.55457</f>
        <v>46662.55457</v>
      </c>
      <c r="D31" s="35">
        <f>31630.27323</f>
        <v>31630.273229999999</v>
      </c>
      <c r="E31" s="35">
        <f>22823.16155</f>
        <v>22823.161550000001</v>
      </c>
      <c r="F31" s="35">
        <f>17117.37116</f>
        <v>17117.371159999999</v>
      </c>
      <c r="G31" s="35">
        <f>13313.5109</f>
        <v>13313.510899999999</v>
      </c>
      <c r="H31" s="35">
        <f>9509.650644</f>
        <v>9509.6506439999994</v>
      </c>
      <c r="I31" s="35">
        <f>7607.720515</f>
        <v>7607.720515</v>
      </c>
      <c r="J31" s="35">
        <f>5705.790386</f>
        <v>5705.7903859999997</v>
      </c>
      <c r="K31" s="35">
        <f>3803.860258</f>
        <v>3803.8602580000002</v>
      </c>
      <c r="L31" s="35">
        <f>1901.930129</f>
        <v>1901.9301290000001</v>
      </c>
      <c r="M31" s="35">
        <f>0</f>
        <v>0</v>
      </c>
      <c r="N31" s="38">
        <f t="shared" si="0"/>
        <v>-13337.414570000001</v>
      </c>
      <c r="Q31" s="13">
        <v>0.1</v>
      </c>
      <c r="R31" s="35">
        <f>40584.00566</f>
        <v>40584.005660000003</v>
      </c>
      <c r="S31" s="35">
        <f>27828.14547</f>
        <v>27828.145469999999</v>
      </c>
      <c r="T31" s="35">
        <f>20302.05498</f>
        <v>20302.054980000001</v>
      </c>
      <c r="U31" s="35">
        <f>15226.54123</f>
        <v>15226.541230000001</v>
      </c>
      <c r="V31" s="35">
        <f>11842.8654</f>
        <v>11842.865400000001</v>
      </c>
      <c r="W31" s="35">
        <f>8459.189575</f>
        <v>8459.1895750000003</v>
      </c>
      <c r="X31" s="35">
        <f>6767.35166</f>
        <v>6767.3516600000003</v>
      </c>
      <c r="Y31" s="35">
        <f>5075.513745</f>
        <v>5075.5137450000002</v>
      </c>
      <c r="Z31" s="35">
        <f>3383.67583</f>
        <v>3383.6758300000001</v>
      </c>
      <c r="AA31" s="35">
        <f>1691.837915</f>
        <v>1691.8379150000001</v>
      </c>
      <c r="AB31" s="35">
        <f>0</f>
        <v>0</v>
      </c>
      <c r="AC31" s="38">
        <f t="shared" si="1"/>
        <v>-7415.984239999998</v>
      </c>
    </row>
    <row r="32" spans="1:29" x14ac:dyDescent="0.35">
      <c r="B32" s="13">
        <v>0.15</v>
      </c>
      <c r="C32" s="35">
        <f>48790.68324</f>
        <v>48790.683239999998</v>
      </c>
      <c r="D32" s="35">
        <f>33118.31404</f>
        <v>33118.314039999997</v>
      </c>
      <c r="E32" s="35">
        <f>23958.47124</f>
        <v>23958.471239999999</v>
      </c>
      <c r="F32" s="35">
        <f>17968.85343</f>
        <v>17968.853429999999</v>
      </c>
      <c r="G32" s="35">
        <f>13975.77489</f>
        <v>13975.774890000001</v>
      </c>
      <c r="H32" s="35">
        <f>9982.69635</f>
        <v>9982.6963500000002</v>
      </c>
      <c r="I32" s="35">
        <f>7986.15708</f>
        <v>7986.15708</v>
      </c>
      <c r="J32" s="35">
        <f>5989.61781</f>
        <v>5989.6178099999997</v>
      </c>
      <c r="K32" s="35">
        <f>3993.07854</f>
        <v>3993.07854</v>
      </c>
      <c r="L32" s="35">
        <f>1996.53927</f>
        <v>1996.53927</v>
      </c>
      <c r="M32" s="35">
        <f>0</f>
        <v>0</v>
      </c>
      <c r="N32" s="38">
        <f t="shared" si="0"/>
        <v>-11209.285900000003</v>
      </c>
      <c r="Q32" s="13">
        <v>0.15</v>
      </c>
      <c r="R32" s="35">
        <f>41831.37471</f>
        <v>41831.374709999996</v>
      </c>
      <c r="S32" s="35">
        <f>28675.5909</f>
        <v>28675.590899999999</v>
      </c>
      <c r="T32" s="35">
        <f>20931.27965</f>
        <v>20931.27965</v>
      </c>
      <c r="U32" s="35">
        <f>15698.45974</f>
        <v>15698.45974</v>
      </c>
      <c r="V32" s="35">
        <f>12209.91313</f>
        <v>12209.913130000001</v>
      </c>
      <c r="W32" s="35">
        <f>8721.366522</f>
        <v>8721.3665220000003</v>
      </c>
      <c r="X32" s="35">
        <f>6977.093218</f>
        <v>6977.093218</v>
      </c>
      <c r="Y32" s="35">
        <f>5232.819913</f>
        <v>5232.8199130000003</v>
      </c>
      <c r="Z32" s="35">
        <f>3488.546609</f>
        <v>3488.546609</v>
      </c>
      <c r="AA32" s="35">
        <f>1744.273304</f>
        <v>1744.2733040000001</v>
      </c>
      <c r="AB32" s="35">
        <f>0</f>
        <v>0</v>
      </c>
      <c r="AC32" s="38">
        <f t="shared" si="1"/>
        <v>-6168.6151900000041</v>
      </c>
    </row>
    <row r="33" spans="2:29" x14ac:dyDescent="0.35">
      <c r="B33" s="13">
        <v>0.2</v>
      </c>
      <c r="C33" s="35">
        <f>50552.75904</f>
        <v>50552.759039999997</v>
      </c>
      <c r="D33" s="35">
        <f>34356.4309</f>
        <v>34356.430899999999</v>
      </c>
      <c r="E33" s="35">
        <f>24900.97599</f>
        <v>24900.975989999999</v>
      </c>
      <c r="F33" s="35">
        <f>18675.73199</f>
        <v>18675.73199</v>
      </c>
      <c r="G33" s="35">
        <f>14525.56933</f>
        <v>14525.56933</v>
      </c>
      <c r="H33" s="35">
        <f>10375.40666</f>
        <v>10375.406660000001</v>
      </c>
      <c r="I33" s="35">
        <f>8300.325329</f>
        <v>8300.3253289999993</v>
      </c>
      <c r="J33" s="35">
        <f>6225.243997</f>
        <v>6225.2439969999996</v>
      </c>
      <c r="K33" s="35">
        <f>4150.162664</f>
        <v>4150.1626640000004</v>
      </c>
      <c r="L33" s="35">
        <f>2075.081332</f>
        <v>2075.0813320000002</v>
      </c>
      <c r="M33" s="35">
        <f>0</f>
        <v>0</v>
      </c>
      <c r="N33" s="38">
        <f t="shared" si="0"/>
        <v>-9447.2101000000039</v>
      </c>
      <c r="Q33" s="13">
        <v>0.2</v>
      </c>
      <c r="R33" s="35">
        <f>42860.83238</f>
        <v>42860.83238</v>
      </c>
      <c r="S33" s="35">
        <f>29364.45126</f>
        <v>29364.451260000002</v>
      </c>
      <c r="T33" s="35">
        <f>21445.27594</f>
        <v>21445.27594</v>
      </c>
      <c r="U33" s="35">
        <f>16083.95695</f>
        <v>16083.95695</v>
      </c>
      <c r="V33" s="35">
        <f>12509.7443</f>
        <v>12509.7443</v>
      </c>
      <c r="W33" s="35">
        <f>8935.53164</f>
        <v>8935.5316399999992</v>
      </c>
      <c r="X33" s="35">
        <f>7148.425312</f>
        <v>7148.4253120000003</v>
      </c>
      <c r="Y33" s="35">
        <f>5361.318984</f>
        <v>5361.3189839999995</v>
      </c>
      <c r="Z33" s="35">
        <f>3574.212656</f>
        <v>3574.2126560000002</v>
      </c>
      <c r="AA33" s="35">
        <f>1787.106328</f>
        <v>1787.1063280000001</v>
      </c>
      <c r="AB33" s="35">
        <f>0</f>
        <v>0</v>
      </c>
      <c r="AC33" s="38">
        <f t="shared" si="1"/>
        <v>-5139.1575200000007</v>
      </c>
    </row>
    <row r="34" spans="2:29" x14ac:dyDescent="0.35">
      <c r="B34" s="13">
        <v>0.25</v>
      </c>
      <c r="C34" s="35">
        <f>52124.51914</f>
        <v>52124.519139999997</v>
      </c>
      <c r="D34" s="35">
        <f>35451.28246</f>
        <v>35451.282460000002</v>
      </c>
      <c r="E34" s="35">
        <f>25738.89745</f>
        <v>25738.89745</v>
      </c>
      <c r="F34" s="35">
        <f>19304.17309</f>
        <v>19304.17309</v>
      </c>
      <c r="G34" s="35">
        <f>15014.35685</f>
        <v>15014.35685</v>
      </c>
      <c r="H34" s="35">
        <f>10724.54061</f>
        <v>10724.54061</v>
      </c>
      <c r="I34" s="35">
        <f>8579.632485</f>
        <v>8579.6324850000001</v>
      </c>
      <c r="J34" s="35">
        <f>6434.724364</f>
        <v>6434.7243639999997</v>
      </c>
      <c r="K34" s="35">
        <f>4289.816242</f>
        <v>4289.8162419999999</v>
      </c>
      <c r="L34" s="35">
        <f>2144.908121</f>
        <v>2144.9081209999999</v>
      </c>
      <c r="M34" s="35">
        <f>0</f>
        <v>0</v>
      </c>
      <c r="N34" s="38">
        <f t="shared" si="0"/>
        <v>-7875.4500000000044</v>
      </c>
      <c r="Q34" s="13">
        <v>0.25</v>
      </c>
      <c r="R34" s="35">
        <f>43762.69338</f>
        <v>43762.693379999997</v>
      </c>
      <c r="S34" s="35">
        <f>29970.76221</f>
        <v>29970.762210000001</v>
      </c>
      <c r="T34" s="35">
        <f>21896.20179</f>
        <v>21896.201789999999</v>
      </c>
      <c r="U34" s="35">
        <f>16422.15134</f>
        <v>16422.15134</v>
      </c>
      <c r="V34" s="35">
        <f>12772.78438</f>
        <v>12772.784379999999</v>
      </c>
      <c r="W34" s="35">
        <f>9123.417414</f>
        <v>9123.4174139999996</v>
      </c>
      <c r="X34" s="35">
        <f>7298.733931</f>
        <v>7298.7339309999998</v>
      </c>
      <c r="Y34" s="35">
        <f>5474.050448</f>
        <v>5474.050448</v>
      </c>
      <c r="Z34" s="35">
        <f>3649.366966</f>
        <v>3649.366966</v>
      </c>
      <c r="AA34" s="35">
        <f>1824.683483</f>
        <v>1824.683483</v>
      </c>
      <c r="AB34" s="35">
        <f>0</f>
        <v>0</v>
      </c>
      <c r="AC34" s="38">
        <f t="shared" si="1"/>
        <v>-4237.2965200000035</v>
      </c>
    </row>
    <row r="35" spans="2:29" x14ac:dyDescent="0.35">
      <c r="B35" s="13">
        <v>0.3</v>
      </c>
      <c r="C35" s="35">
        <f>53617.44128</f>
        <v>53617.441279999999</v>
      </c>
      <c r="D35" s="35">
        <f>36479.08762</f>
        <v>36479.087619999998</v>
      </c>
      <c r="E35" s="35">
        <f>26515.50481</f>
        <v>26515.504809999999</v>
      </c>
      <c r="F35" s="35">
        <f>19886.62861</f>
        <v>19886.62861</v>
      </c>
      <c r="G35" s="35">
        <f>15467.37781</f>
        <v>15467.37781</v>
      </c>
      <c r="H35" s="35">
        <f>11048.127</f>
        <v>11048.127</v>
      </c>
      <c r="I35" s="35">
        <f>8838.501603</f>
        <v>8838.5016030000006</v>
      </c>
      <c r="J35" s="35">
        <f>6628.876202</f>
        <v>6628.8762020000004</v>
      </c>
      <c r="K35" s="35">
        <f>4419.250802</f>
        <v>4419.2508019999996</v>
      </c>
      <c r="L35" s="35">
        <f>2209.625401</f>
        <v>2209.6254009999998</v>
      </c>
      <c r="M35" s="35">
        <f>0</f>
        <v>0</v>
      </c>
      <c r="N35" s="38">
        <f t="shared" si="0"/>
        <v>-6382.527860000002</v>
      </c>
      <c r="Q35" s="13">
        <v>0.3</v>
      </c>
      <c r="R35" s="35">
        <f>44598.48011</f>
        <v>44598.480109999997</v>
      </c>
      <c r="S35" s="35">
        <f>30544.66361</f>
        <v>30544.66361</v>
      </c>
      <c r="T35" s="35">
        <f>22309.28821</f>
        <v>22309.288209999999</v>
      </c>
      <c r="U35" s="35">
        <f>16731.96615</f>
        <v>16731.96615</v>
      </c>
      <c r="V35" s="35">
        <f>13013.75145</f>
        <v>13013.75145</v>
      </c>
      <c r="W35" s="35">
        <f>9295.536753</f>
        <v>9295.5367530000003</v>
      </c>
      <c r="X35" s="35">
        <f>7436.429402</f>
        <v>7436.4294019999998</v>
      </c>
      <c r="Y35" s="35">
        <f>5577.322052</f>
        <v>5577.3220520000004</v>
      </c>
      <c r="Z35" s="35">
        <f>3718.214701</f>
        <v>3718.2147009999999</v>
      </c>
      <c r="AA35" s="35">
        <f>1859.107351</f>
        <v>1859.1073510000001</v>
      </c>
      <c r="AB35" s="35">
        <f>0</f>
        <v>0</v>
      </c>
      <c r="AC35" s="38">
        <f t="shared" si="1"/>
        <v>-3401.5097900000037</v>
      </c>
    </row>
    <row r="36" spans="2:29" x14ac:dyDescent="0.35">
      <c r="B36" s="13">
        <v>0.35</v>
      </c>
      <c r="C36" s="35">
        <f>54991.19951</f>
        <v>54991.199509999999</v>
      </c>
      <c r="D36" s="35">
        <f>37439.17306</f>
        <v>37439.173060000001</v>
      </c>
      <c r="E36" s="35">
        <f>27256.07155</f>
        <v>27256.071550000001</v>
      </c>
      <c r="F36" s="35">
        <f>20442.05366</f>
        <v>20442.053660000001</v>
      </c>
      <c r="G36" s="35">
        <f>15899.37507</f>
        <v>15899.37507</v>
      </c>
      <c r="H36" s="35">
        <f>11356.69648</f>
        <v>11356.696480000001</v>
      </c>
      <c r="I36" s="35">
        <f>9085.357182</f>
        <v>9085.3571819999997</v>
      </c>
      <c r="J36" s="35">
        <f>6814.017887</f>
        <v>6814.017887</v>
      </c>
      <c r="K36" s="35">
        <f>4542.678591</f>
        <v>4542.6785909999999</v>
      </c>
      <c r="L36" s="35">
        <f>2271.339296</f>
        <v>2271.3392960000001</v>
      </c>
      <c r="M36" s="35">
        <f>0</f>
        <v>0</v>
      </c>
      <c r="N36" s="38">
        <f t="shared" si="0"/>
        <v>-5008.7696300000025</v>
      </c>
      <c r="Q36" s="13">
        <v>0.35</v>
      </c>
      <c r="R36" s="35">
        <f>45383.46513</f>
        <v>45383.465129999997</v>
      </c>
      <c r="S36" s="35">
        <f>31054.43423</f>
        <v>31054.434229999999</v>
      </c>
      <c r="T36" s="35">
        <f>22699.03959</f>
        <v>22699.03959</v>
      </c>
      <c r="U36" s="35">
        <f>17024.27969</f>
        <v>17024.279689999999</v>
      </c>
      <c r="V36" s="35">
        <f>13241.10643</f>
        <v>13241.10643</v>
      </c>
      <c r="W36" s="35">
        <f>9457.933163</f>
        <v>9457.9331629999997</v>
      </c>
      <c r="X36" s="35">
        <f>7566.34653</f>
        <v>7566.3465299999998</v>
      </c>
      <c r="Y36" s="35">
        <f>5674.759898</f>
        <v>5674.7598980000002</v>
      </c>
      <c r="Z36" s="35">
        <f>3783.173265</f>
        <v>3783.1732649999999</v>
      </c>
      <c r="AA36" s="35">
        <f>1891.586633</f>
        <v>1891.5866329999999</v>
      </c>
      <c r="AB36" s="35">
        <f>0</f>
        <v>0</v>
      </c>
      <c r="AC36" s="38">
        <f t="shared" si="1"/>
        <v>-2616.5247700000036</v>
      </c>
    </row>
    <row r="37" spans="2:29" x14ac:dyDescent="0.35">
      <c r="B37" s="13">
        <v>0.4</v>
      </c>
      <c r="C37" s="35">
        <f>56335.24849</f>
        <v>56335.248489999998</v>
      </c>
      <c r="D37" s="35">
        <f>38398.32482</f>
        <v>38398.324820000002</v>
      </c>
      <c r="E37" s="35">
        <f>27977.85149</f>
        <v>27977.851490000001</v>
      </c>
      <c r="F37" s="35">
        <f>20983.38862</f>
        <v>20983.388620000002</v>
      </c>
      <c r="G37" s="35">
        <f>16320.41337</f>
        <v>16320.41337</v>
      </c>
      <c r="H37" s="35">
        <f>11657.43812</f>
        <v>11657.438120000001</v>
      </c>
      <c r="I37" s="35">
        <f>9325.950498</f>
        <v>9325.9504980000002</v>
      </c>
      <c r="J37" s="35">
        <f>6994.462873</f>
        <v>6994.4628730000004</v>
      </c>
      <c r="K37" s="35">
        <f>4662.975249</f>
        <v>4662.9752490000001</v>
      </c>
      <c r="L37" s="35">
        <f>2331.487624</f>
        <v>2331.4876239999999</v>
      </c>
      <c r="M37" s="35">
        <f>0</f>
        <v>0</v>
      </c>
      <c r="N37" s="38">
        <f t="shared" si="0"/>
        <v>-3664.7206500000029</v>
      </c>
      <c r="Q37" s="13">
        <v>0.4</v>
      </c>
      <c r="R37" s="35">
        <f>46147.04448</f>
        <v>46147.044479999997</v>
      </c>
      <c r="S37" s="35">
        <f>31567.38143</f>
        <v>31567.381430000001</v>
      </c>
      <c r="T37" s="35">
        <f>23075.13771</f>
        <v>23075.137709999999</v>
      </c>
      <c r="U37" s="35">
        <f>17306.3532899999</f>
        <v>17306.353289999901</v>
      </c>
      <c r="V37" s="35">
        <f>13460.497</f>
        <v>13460.496999999999</v>
      </c>
      <c r="W37" s="35">
        <f>9614.640714</f>
        <v>9614.6407139999992</v>
      </c>
      <c r="X37" s="35">
        <f>7691.712571</f>
        <v>7691.712571</v>
      </c>
      <c r="Y37" s="35">
        <f>5768.784428</f>
        <v>5768.7844279999999</v>
      </c>
      <c r="Z37" s="35">
        <f>3845.856286</f>
        <v>3845.8562860000002</v>
      </c>
      <c r="AA37" s="35">
        <f>1922.928143</f>
        <v>1922.9281430000001</v>
      </c>
      <c r="AB37" s="35">
        <f>0</f>
        <v>0</v>
      </c>
      <c r="AC37" s="38">
        <f t="shared" si="1"/>
        <v>-1852.9454200000037</v>
      </c>
    </row>
    <row r="38" spans="2:29" x14ac:dyDescent="0.35">
      <c r="B38" s="13">
        <v>0.45</v>
      </c>
      <c r="C38" s="35">
        <f>57667.98077</f>
        <v>57667.980770000002</v>
      </c>
      <c r="D38" s="35">
        <f>39325.79434</f>
        <v>39325.79434</v>
      </c>
      <c r="E38" s="35">
        <f>28694.22839</f>
        <v>28694.22839</v>
      </c>
      <c r="F38" s="35">
        <f>21520.6713</f>
        <v>21520.671300000002</v>
      </c>
      <c r="G38" s="35">
        <f>16738.2999</f>
        <v>16738.299900000002</v>
      </c>
      <c r="H38" s="35">
        <f>11955.9285</f>
        <v>11955.9285</v>
      </c>
      <c r="I38" s="35">
        <f>9564.742798</f>
        <v>9564.7427979999993</v>
      </c>
      <c r="J38" s="35">
        <f>7173.557098</f>
        <v>7173.5570980000002</v>
      </c>
      <c r="K38" s="35">
        <f>4782.371399</f>
        <v>4782.3713989999997</v>
      </c>
      <c r="L38" s="35">
        <f>2391.185699</f>
        <v>2391.1856990000001</v>
      </c>
      <c r="M38" s="35">
        <f>0</f>
        <v>0</v>
      </c>
      <c r="N38" s="38">
        <f t="shared" si="0"/>
        <v>-2331.9883699999991</v>
      </c>
      <c r="Q38" s="13">
        <v>0.45</v>
      </c>
      <c r="R38" s="35">
        <f>46883.26635</f>
        <v>46883.266349999998</v>
      </c>
      <c r="S38" s="35">
        <f>32065.03111</f>
        <v>32065.03111</v>
      </c>
      <c r="T38" s="35">
        <f>23444.87477</f>
        <v>23444.874769999999</v>
      </c>
      <c r="U38" s="35">
        <f>17583.65608</f>
        <v>17583.656080000001</v>
      </c>
      <c r="V38" s="35">
        <f>13676.17695</f>
        <v>13676.176949999999</v>
      </c>
      <c r="W38" s="35">
        <f>9768.697822</f>
        <v>9768.6978220000001</v>
      </c>
      <c r="X38" s="35">
        <f>7814.958258</f>
        <v>7814.9582579999997</v>
      </c>
      <c r="Y38" s="35">
        <f>5861.218693</f>
        <v>5861.2186929999998</v>
      </c>
      <c r="Z38" s="35">
        <f>3907.479129</f>
        <v>3907.4791289999998</v>
      </c>
      <c r="AA38" s="35">
        <f>1953.739564</f>
        <v>1953.739564</v>
      </c>
      <c r="AB38" s="35">
        <f>0</f>
        <v>0</v>
      </c>
      <c r="AC38" s="38">
        <f t="shared" si="1"/>
        <v>-1116.7235500000024</v>
      </c>
    </row>
    <row r="39" spans="2:29" x14ac:dyDescent="0.35">
      <c r="B39" s="13">
        <v>0.5</v>
      </c>
      <c r="C39" s="35">
        <f>58984.02778</f>
        <v>58984.027779999997</v>
      </c>
      <c r="D39" s="35">
        <f>40258.36888</f>
        <v>40258.368880000002</v>
      </c>
      <c r="E39" s="35">
        <f>29417.2963</f>
        <v>29417.296300000002</v>
      </c>
      <c r="F39" s="35">
        <f>22062.97223</f>
        <v>22062.972229999999</v>
      </c>
      <c r="G39" s="35">
        <f>17160.08951</f>
        <v>17160.089510000002</v>
      </c>
      <c r="H39" s="35">
        <f>12257.20679</f>
        <v>12257.20679</v>
      </c>
      <c r="I39" s="35">
        <f>9805.765434</f>
        <v>9805.7654340000008</v>
      </c>
      <c r="J39" s="35">
        <f>7354.324076</f>
        <v>7354.3240759999999</v>
      </c>
      <c r="K39" s="35">
        <f>4902.882717</f>
        <v>4902.8827170000004</v>
      </c>
      <c r="L39" s="35">
        <f>2451.441359</f>
        <v>2451.4413589999999</v>
      </c>
      <c r="M39" s="35">
        <f>0</f>
        <v>0</v>
      </c>
      <c r="N39" s="38">
        <f t="shared" si="0"/>
        <v>-1015.9413600000044</v>
      </c>
      <c r="Q39" s="13">
        <v>0.5</v>
      </c>
      <c r="R39" s="35">
        <f>47636.86635</f>
        <v>47636.866349999997</v>
      </c>
      <c r="S39" s="35">
        <f>32550.17944</f>
        <v>32550.17944</v>
      </c>
      <c r="T39" s="35">
        <f>23814.60594</f>
        <v>23814.605940000001</v>
      </c>
      <c r="U39" s="35">
        <f>17860.95446</f>
        <v>17860.954460000001</v>
      </c>
      <c r="V39" s="35">
        <f>13891.85347</f>
        <v>13891.85347</v>
      </c>
      <c r="W39" s="35">
        <f>9922.752476</f>
        <v>9922.7524759999997</v>
      </c>
      <c r="X39" s="35">
        <f>7938.201981</f>
        <v>7938.2019810000002</v>
      </c>
      <c r="Y39" s="35">
        <f>5953.651486</f>
        <v>5953.6514859999997</v>
      </c>
      <c r="Z39" s="35">
        <f>3969.100991</f>
        <v>3969.1009909999998</v>
      </c>
      <c r="AA39" s="35">
        <f>1984.550495</f>
        <v>1984.550495</v>
      </c>
      <c r="AB39" s="35">
        <f>0</f>
        <v>0</v>
      </c>
      <c r="AC39" s="38">
        <f t="shared" si="1"/>
        <v>-363.12355000000389</v>
      </c>
    </row>
    <row r="40" spans="2:29" x14ac:dyDescent="0.35">
      <c r="B40" s="13">
        <v>0.55000000000000004</v>
      </c>
      <c r="C40" s="35">
        <f>60378.78907</f>
        <v>60378.789069999999</v>
      </c>
      <c r="D40" s="35">
        <f>41221.73943</f>
        <v>41221.739430000001</v>
      </c>
      <c r="E40" s="35">
        <f>30158.64288</f>
        <v>30158.642879999999</v>
      </c>
      <c r="F40" s="35">
        <f>22618.98216</f>
        <v>22618.98216</v>
      </c>
      <c r="G40" s="35">
        <f>17592.54168</f>
        <v>17592.541679999998</v>
      </c>
      <c r="H40" s="35">
        <f>12566.1012</f>
        <v>12566.101199999999</v>
      </c>
      <c r="I40" s="35">
        <f>10052.88096</f>
        <v>10052.88096</v>
      </c>
      <c r="J40" s="35">
        <f>7539.660719</f>
        <v>7539.6607190000004</v>
      </c>
      <c r="K40" s="35">
        <f>5026.440479</f>
        <v>5026.4404789999999</v>
      </c>
      <c r="L40" s="35">
        <f>2513.22024</f>
        <v>2513.2202400000001</v>
      </c>
      <c r="M40" s="35">
        <f>0</f>
        <v>0</v>
      </c>
      <c r="N40" s="38">
        <f t="shared" si="0"/>
        <v>378.81992999999784</v>
      </c>
      <c r="Q40" s="13">
        <v>0.55000000000000004</v>
      </c>
      <c r="R40" s="35">
        <f>48385.7767</f>
        <v>48385.776700000002</v>
      </c>
      <c r="S40" s="35">
        <f>33055.88175</f>
        <v>33055.88175</v>
      </c>
      <c r="T40" s="35">
        <f>24190.19712</f>
        <v>24190.197120000001</v>
      </c>
      <c r="U40" s="35">
        <f>18142.64784</f>
        <v>18142.647840000001</v>
      </c>
      <c r="V40" s="35">
        <f>14110.94832</f>
        <v>14110.94832</v>
      </c>
      <c r="W40" s="35">
        <f>10079.2488</f>
        <v>10079.248799999999</v>
      </c>
      <c r="X40" s="35">
        <f>8063.399041</f>
        <v>8063.3990409999997</v>
      </c>
      <c r="Y40" s="35">
        <f>6047.549281</f>
        <v>6047.5492809999996</v>
      </c>
      <c r="Z40" s="35">
        <f>4031.69952</f>
        <v>4031.6995200000001</v>
      </c>
      <c r="AA40" s="35">
        <f>2015.84976</f>
        <v>2015.8497600000001</v>
      </c>
      <c r="AB40" s="35">
        <f>0</f>
        <v>0</v>
      </c>
      <c r="AC40" s="38">
        <f t="shared" si="1"/>
        <v>385.78680000000168</v>
      </c>
    </row>
    <row r="41" spans="2:29" x14ac:dyDescent="0.35">
      <c r="B41" s="13">
        <v>0.6</v>
      </c>
      <c r="C41" s="35">
        <f>61794.32396</f>
        <v>61794.323960000002</v>
      </c>
      <c r="D41" s="35">
        <f>42244.27281</f>
        <v>42244.272810000002</v>
      </c>
      <c r="E41" s="35">
        <f>30930.96373</f>
        <v>30930.963729999999</v>
      </c>
      <c r="F41" s="35">
        <f>23198.22279</f>
        <v>23198.22279</v>
      </c>
      <c r="G41" s="35">
        <f>18043.06217</f>
        <v>18043.062170000001</v>
      </c>
      <c r="H41" s="35">
        <f>12887.90155</f>
        <v>12887.90155</v>
      </c>
      <c r="I41" s="35">
        <f>10310.32124</f>
        <v>10310.321239999999</v>
      </c>
      <c r="J41" s="35">
        <f>7732.740932</f>
        <v>7732.7409319999997</v>
      </c>
      <c r="K41" s="35">
        <f>5155.160621</f>
        <v>5155.160621</v>
      </c>
      <c r="L41" s="35">
        <f>2577.580311</f>
        <v>2577.5803110000002</v>
      </c>
      <c r="M41" s="35">
        <f>0</f>
        <v>0</v>
      </c>
      <c r="N41" s="38">
        <f t="shared" si="0"/>
        <v>1794.3548200000005</v>
      </c>
      <c r="Q41" s="13">
        <v>0.6</v>
      </c>
      <c r="R41" s="35">
        <f>49153.86397</f>
        <v>49153.863969999999</v>
      </c>
      <c r="S41" s="35">
        <f>33583.51716</f>
        <v>33583.517160000003</v>
      </c>
      <c r="T41" s="35">
        <f>24577.85317</f>
        <v>24577.853169999998</v>
      </c>
      <c r="U41" s="35">
        <f>18433.38988</f>
        <v>18433.389879999999</v>
      </c>
      <c r="V41" s="35">
        <f>14337.08102</f>
        <v>14337.08102</v>
      </c>
      <c r="W41" s="35">
        <f>10240.77215</f>
        <v>10240.772150000001</v>
      </c>
      <c r="X41" s="35">
        <f>8192.617724</f>
        <v>8192.6177239999997</v>
      </c>
      <c r="Y41" s="35">
        <f>6144.463293</f>
        <v>6144.4632929999998</v>
      </c>
      <c r="Z41" s="35">
        <f>4096.308862</f>
        <v>4096.3088619999999</v>
      </c>
      <c r="AA41" s="35">
        <f>2048.154431</f>
        <v>2048.1544309999999</v>
      </c>
      <c r="AB41" s="35">
        <f>0</f>
        <v>0</v>
      </c>
      <c r="AC41" s="38">
        <f t="shared" si="1"/>
        <v>1153.874069999998</v>
      </c>
    </row>
    <row r="42" spans="2:29" x14ac:dyDescent="0.35">
      <c r="B42" s="13">
        <v>0.65</v>
      </c>
      <c r="C42" s="35">
        <f>63289.8914199999</f>
        <v>63289.891419999898</v>
      </c>
      <c r="D42" s="35">
        <f>43305.22285</f>
        <v>43305.222849999998</v>
      </c>
      <c r="E42" s="35">
        <f>31750.03721</f>
        <v>31750.037209999999</v>
      </c>
      <c r="F42" s="35">
        <f>23812.52791</f>
        <v>23812.527910000001</v>
      </c>
      <c r="G42" s="35">
        <f>18520.85504</f>
        <v>18520.855039999999</v>
      </c>
      <c r="H42" s="35">
        <f>13229.18217</f>
        <v>13229.18217</v>
      </c>
      <c r="I42" s="35">
        <f>10583.34574</f>
        <v>10583.345740000001</v>
      </c>
      <c r="J42" s="35">
        <f>7937.509302</f>
        <v>7937.5093020000004</v>
      </c>
      <c r="K42" s="35">
        <f>5291.672868</f>
        <v>5291.6728679999997</v>
      </c>
      <c r="L42" s="35">
        <f>2645.836434</f>
        <v>2645.8364339999998</v>
      </c>
      <c r="M42" s="35">
        <f>0</f>
        <v>0</v>
      </c>
      <c r="N42" s="38">
        <f t="shared" si="0"/>
        <v>3289.922279999897</v>
      </c>
      <c r="Q42" s="13">
        <v>0.65</v>
      </c>
      <c r="R42" s="35">
        <f>49951.52185</f>
        <v>49951.521849999997</v>
      </c>
      <c r="S42" s="35">
        <f>34126.92551</f>
        <v>34126.925510000001</v>
      </c>
      <c r="T42" s="35">
        <f>24985.06985</f>
        <v>24985.06985</v>
      </c>
      <c r="U42" s="35">
        <f>18738.80238</f>
        <v>18738.802380000001</v>
      </c>
      <c r="V42" s="35">
        <f>14574.62408</f>
        <v>14574.62408</v>
      </c>
      <c r="W42" s="35">
        <f>10410.44577</f>
        <v>10410.44577</v>
      </c>
      <c r="X42" s="35">
        <f>8328.356615</f>
        <v>8328.3566150000006</v>
      </c>
      <c r="Y42" s="35">
        <f>6246.267462</f>
        <v>6246.2674619999998</v>
      </c>
      <c r="Z42" s="35">
        <f>4164.178308</f>
        <v>4164.1783079999996</v>
      </c>
      <c r="AA42" s="35">
        <f>2082.089154</f>
        <v>2082.0891539999998</v>
      </c>
      <c r="AB42" s="35">
        <f>0</f>
        <v>0</v>
      </c>
      <c r="AC42" s="38">
        <f t="shared" si="1"/>
        <v>1951.5319499999969</v>
      </c>
    </row>
    <row r="43" spans="2:29" x14ac:dyDescent="0.35">
      <c r="B43" s="13">
        <v>0.7</v>
      </c>
      <c r="C43" s="35">
        <f>64940.7369</f>
        <v>64940.736900000004</v>
      </c>
      <c r="D43" s="35">
        <f>44457.73594</f>
        <v>44457.735939999999</v>
      </c>
      <c r="E43" s="35">
        <f>32636.70718</f>
        <v>32636.707180000001</v>
      </c>
      <c r="F43" s="35">
        <f>24477.53038</f>
        <v>24477.53038</v>
      </c>
      <c r="G43" s="35">
        <f>19038.07919</f>
        <v>19038.07919</v>
      </c>
      <c r="H43" s="35">
        <f>13598.62799</f>
        <v>13598.627990000001</v>
      </c>
      <c r="I43" s="35">
        <f>10878.90239</f>
        <v>10878.902389999999</v>
      </c>
      <c r="J43" s="35">
        <f>8159.176795</f>
        <v>8159.1767950000003</v>
      </c>
      <c r="K43" s="35">
        <f>5439.451197</f>
        <v>5439.4511970000003</v>
      </c>
      <c r="L43" s="35">
        <f>2719.725598</f>
        <v>2719.725598</v>
      </c>
      <c r="M43" s="35">
        <f>0</f>
        <v>0</v>
      </c>
      <c r="N43" s="38">
        <f t="shared" si="0"/>
        <v>4940.7677600000025</v>
      </c>
      <c r="Q43" s="13">
        <v>0.7</v>
      </c>
      <c r="R43" s="35">
        <f>50837.76657</f>
        <v>50837.76657</v>
      </c>
      <c r="S43" s="35">
        <f>34707.44526</f>
        <v>34707.44526</v>
      </c>
      <c r="T43" s="35">
        <f>25421.52157</f>
        <v>25421.521570000001</v>
      </c>
      <c r="U43" s="35">
        <f>19066.14118</f>
        <v>19066.141179999999</v>
      </c>
      <c r="V43" s="35">
        <f>14829.22092</f>
        <v>14829.22092</v>
      </c>
      <c r="W43" s="35">
        <f>10592.30066</f>
        <v>10592.300660000001</v>
      </c>
      <c r="X43" s="35">
        <f>8473.840524</f>
        <v>8473.8405239999993</v>
      </c>
      <c r="Y43" s="35">
        <f>6355.380393</f>
        <v>6355.3803930000004</v>
      </c>
      <c r="Z43" s="35">
        <f>4236.920262</f>
        <v>4236.9202619999996</v>
      </c>
      <c r="AA43" s="35">
        <f>2118.460131</f>
        <v>2118.4601309999998</v>
      </c>
      <c r="AB43" s="35">
        <f>0</f>
        <v>0</v>
      </c>
      <c r="AC43" s="38">
        <f t="shared" si="1"/>
        <v>2837.7766699999993</v>
      </c>
    </row>
    <row r="44" spans="2:29" x14ac:dyDescent="0.35">
      <c r="B44" s="13">
        <v>0.75</v>
      </c>
      <c r="C44" s="35">
        <f>66733.68317</f>
        <v>66733.683170000004</v>
      </c>
      <c r="D44" s="35">
        <f>45720.42119</f>
        <v>45720.421190000001</v>
      </c>
      <c r="E44" s="35">
        <f>33621.25414</f>
        <v>33621.254139999997</v>
      </c>
      <c r="F44" s="35">
        <f>25215.94061</f>
        <v>25215.940610000001</v>
      </c>
      <c r="G44" s="35">
        <f>19612.39825</f>
        <v>19612.398249999998</v>
      </c>
      <c r="H44" s="35">
        <f>14008.85589</f>
        <v>14008.855890000001</v>
      </c>
      <c r="I44" s="35">
        <f>11207.08471</f>
        <v>11207.084709999999</v>
      </c>
      <c r="J44" s="35">
        <f>8405.313536</f>
        <v>8405.3135359999997</v>
      </c>
      <c r="K44" s="35">
        <f>5603.542357</f>
        <v>5603.5423570000003</v>
      </c>
      <c r="L44" s="35">
        <f>2801.771179</f>
        <v>2801.7711789999998</v>
      </c>
      <c r="M44" s="35">
        <f>0</f>
        <v>0</v>
      </c>
      <c r="N44" s="38">
        <f t="shared" si="0"/>
        <v>6733.7140300000028</v>
      </c>
      <c r="Q44" s="13">
        <v>0.75</v>
      </c>
      <c r="R44" s="35">
        <f>51806.54113</f>
        <v>51806.541129999998</v>
      </c>
      <c r="S44" s="35">
        <f>35349.3156</f>
        <v>35349.315600000002</v>
      </c>
      <c r="T44" s="35">
        <f>25901.02603</f>
        <v>25901.026030000001</v>
      </c>
      <c r="U44" s="35">
        <f>19425.76953</f>
        <v>19425.769530000001</v>
      </c>
      <c r="V44" s="35">
        <f>15108.93185</f>
        <v>15108.931850000001</v>
      </c>
      <c r="W44" s="35">
        <f>10792.09418</f>
        <v>10792.09418</v>
      </c>
      <c r="X44" s="35">
        <f>8633.675345</f>
        <v>8633.6753449999997</v>
      </c>
      <c r="Y44" s="35">
        <f>6475.256509</f>
        <v>6475.2565089999998</v>
      </c>
      <c r="Z44" s="35">
        <f>4316.837672</f>
        <v>4316.8376719999997</v>
      </c>
      <c r="AA44" s="35">
        <f>2158.418836</f>
        <v>2158.4188359999998</v>
      </c>
      <c r="AB44" s="35">
        <f>0</f>
        <v>0</v>
      </c>
      <c r="AC44" s="38">
        <f t="shared" si="1"/>
        <v>3806.5512299999973</v>
      </c>
    </row>
    <row r="45" spans="2:29" x14ac:dyDescent="0.35">
      <c r="B45" s="13">
        <v>0.8</v>
      </c>
      <c r="C45" s="35">
        <f>68826.69541</f>
        <v>68826.69541</v>
      </c>
      <c r="D45" s="35">
        <f>47187.77212</f>
        <v>47187.772120000001</v>
      </c>
      <c r="E45" s="35">
        <f>34752.7775499999</f>
        <v>34752.777549999897</v>
      </c>
      <c r="F45" s="35">
        <f>26064.58317</f>
        <v>26064.583170000002</v>
      </c>
      <c r="G45" s="35">
        <f>20272.45357</f>
        <v>20272.453570000001</v>
      </c>
      <c r="H45" s="35">
        <f>14480.32398</f>
        <v>14480.323979999999</v>
      </c>
      <c r="I45" s="35">
        <f>11584.25918</f>
        <v>11584.259179999999</v>
      </c>
      <c r="J45" s="35">
        <f>8688.194388</f>
        <v>8688.1943879999999</v>
      </c>
      <c r="K45" s="35">
        <f>5792.129592</f>
        <v>5792.1295920000002</v>
      </c>
      <c r="L45" s="35">
        <f>2896.064796</f>
        <v>2896.0647960000001</v>
      </c>
      <c r="M45" s="35">
        <f>0</f>
        <v>0</v>
      </c>
      <c r="N45" s="38">
        <f t="shared" si="0"/>
        <v>8826.7262699999992</v>
      </c>
      <c r="Q45" s="13">
        <v>0.8</v>
      </c>
      <c r="R45" s="35">
        <f>52906.00825</f>
        <v>52906.008249999999</v>
      </c>
      <c r="S45" s="35">
        <f>36083.75303</f>
        <v>36083.75303</v>
      </c>
      <c r="T45" s="35">
        <f>26445.72026</f>
        <v>26445.720259999998</v>
      </c>
      <c r="U45" s="35">
        <f>19834.2902</f>
        <v>19834.290199999999</v>
      </c>
      <c r="V45" s="35">
        <f>15426.67015</f>
        <v>15426.67015</v>
      </c>
      <c r="W45" s="35">
        <f>11019.05011</f>
        <v>11019.05011</v>
      </c>
      <c r="X45" s="35">
        <f>8815.240088</f>
        <v>8815.2400880000005</v>
      </c>
      <c r="Y45" s="35">
        <f>6611.430066</f>
        <v>6611.4300659999999</v>
      </c>
      <c r="Z45" s="35">
        <f>4407.620044</f>
        <v>4407.6200440000002</v>
      </c>
      <c r="AA45" s="35">
        <f>2203.810022</f>
        <v>2203.8100220000001</v>
      </c>
      <c r="AB45" s="35">
        <f>0</f>
        <v>0</v>
      </c>
      <c r="AC45" s="38">
        <f t="shared" si="1"/>
        <v>4906.0183499999985</v>
      </c>
    </row>
    <row r="46" spans="2:29" x14ac:dyDescent="0.35">
      <c r="B46" s="13">
        <v>0.85</v>
      </c>
      <c r="C46" s="35">
        <f>71359.37808</f>
        <v>71359.378079999995</v>
      </c>
      <c r="D46" s="35">
        <f>49000.31194</f>
        <v>49000.31194</v>
      </c>
      <c r="E46" s="35">
        <f>36119.88207</f>
        <v>36119.88207</v>
      </c>
      <c r="F46" s="35">
        <f>27089.91155</f>
        <v>27089.911550000001</v>
      </c>
      <c r="G46" s="35">
        <f>21069.93121</f>
        <v>21069.931209999999</v>
      </c>
      <c r="H46" s="35">
        <f>15049.95086</f>
        <v>15049.950860000001</v>
      </c>
      <c r="I46" s="35">
        <f>12039.96069</f>
        <v>12039.96069</v>
      </c>
      <c r="J46" s="35">
        <f>9029.970517</f>
        <v>9029.9705169999997</v>
      </c>
      <c r="K46" s="35">
        <f>6019.980345</f>
        <v>6019.9803449999999</v>
      </c>
      <c r="L46" s="35">
        <f>3009.990172</f>
        <v>3009.9901719999998</v>
      </c>
      <c r="M46" s="35">
        <f>0</f>
        <v>0</v>
      </c>
      <c r="N46" s="38">
        <f t="shared" si="0"/>
        <v>11359.408939999994</v>
      </c>
      <c r="Q46" s="13">
        <v>0.85</v>
      </c>
      <c r="R46" s="35">
        <f>54239.34018</f>
        <v>54239.340179999999</v>
      </c>
      <c r="S46" s="35">
        <f>36965.03375</f>
        <v>36965.033750000002</v>
      </c>
      <c r="T46" s="35">
        <f>27095.11302</f>
        <v>27095.113020000001</v>
      </c>
      <c r="U46" s="35">
        <f>20321.33476</f>
        <v>20321.334760000002</v>
      </c>
      <c r="V46" s="35">
        <f>15805.48259</f>
        <v>15805.48259</v>
      </c>
      <c r="W46" s="35">
        <f>11289.63042</f>
        <v>11289.63042</v>
      </c>
      <c r="X46" s="35">
        <f>9031.704339</f>
        <v>9031.7043389999999</v>
      </c>
      <c r="Y46" s="35">
        <f>6773.778254</f>
        <v>6773.7782539999998</v>
      </c>
      <c r="Z46" s="35">
        <f>4515.85217</f>
        <v>4515.8521700000001</v>
      </c>
      <c r="AA46" s="35">
        <f>2257.926085</f>
        <v>2257.9260850000001</v>
      </c>
      <c r="AB46" s="35">
        <f>0</f>
        <v>0</v>
      </c>
      <c r="AC46" s="38">
        <f t="shared" si="1"/>
        <v>6239.3502799999987</v>
      </c>
    </row>
    <row r="47" spans="2:29" x14ac:dyDescent="0.35">
      <c r="B47" s="13">
        <v>0.9</v>
      </c>
      <c r="C47" s="35">
        <f>74636.51887</f>
        <v>74636.51887</v>
      </c>
      <c r="D47" s="35">
        <f>51304.66982</f>
        <v>51304.669820000003</v>
      </c>
      <c r="E47" s="35">
        <f>37916.50227</f>
        <v>37916.502269999997</v>
      </c>
      <c r="F47" s="35">
        <f>28437.37671</f>
        <v>28437.37671</v>
      </c>
      <c r="G47" s="35">
        <f>22117.95966</f>
        <v>22117.95966</v>
      </c>
      <c r="H47" s="35">
        <f>15798.54261</f>
        <v>15798.54261</v>
      </c>
      <c r="I47" s="35">
        <f>12638.83409</f>
        <v>12638.83409</v>
      </c>
      <c r="J47" s="35">
        <f>9479.125568</f>
        <v>9479.1255679999995</v>
      </c>
      <c r="K47" s="35">
        <f>6319.417046</f>
        <v>6319.4170459999996</v>
      </c>
      <c r="L47" s="35">
        <f>3159.708523</f>
        <v>3159.7085229999998</v>
      </c>
      <c r="M47" s="35">
        <f>0</f>
        <v>0</v>
      </c>
      <c r="N47" s="38">
        <f t="shared" si="0"/>
        <v>14636.549729999999</v>
      </c>
      <c r="Q47" s="13">
        <v>0.9</v>
      </c>
      <c r="R47" s="35">
        <f>55903.30639</f>
        <v>55903.306389999998</v>
      </c>
      <c r="S47" s="35">
        <f>38096.21657</f>
        <v>38096.216569999997</v>
      </c>
      <c r="T47" s="35">
        <f>27934.82119</f>
        <v>27934.821189999999</v>
      </c>
      <c r="U47" s="35">
        <f>20951.11589</f>
        <v>20951.115890000001</v>
      </c>
      <c r="V47" s="35">
        <f>16295.31236</f>
        <v>16295.31236</v>
      </c>
      <c r="W47" s="35">
        <f>11639.50883</f>
        <v>11639.508830000001</v>
      </c>
      <c r="X47" s="35">
        <f>9311.607063</f>
        <v>9311.6070629999995</v>
      </c>
      <c r="Y47" s="35">
        <f>6983.705298</f>
        <v>6983.7052979999999</v>
      </c>
      <c r="Z47" s="35">
        <f>4655.803532</f>
        <v>4655.8035319999999</v>
      </c>
      <c r="AA47" s="35">
        <f>2327.901766</f>
        <v>2327.901766</v>
      </c>
      <c r="AB47" s="35">
        <f>0</f>
        <v>0</v>
      </c>
      <c r="AC47" s="38">
        <f t="shared" si="1"/>
        <v>7903.3164899999974</v>
      </c>
    </row>
    <row r="48" spans="2:29" x14ac:dyDescent="0.35">
      <c r="B48" s="13">
        <v>0.95</v>
      </c>
      <c r="C48" s="35">
        <f>79837.25974</f>
        <v>79837.259739999994</v>
      </c>
      <c r="D48" s="35">
        <f>54982.55578</f>
        <v>54982.555780000002</v>
      </c>
      <c r="E48" s="35">
        <f>40744.98151</f>
        <v>40744.981509999998</v>
      </c>
      <c r="F48" s="35">
        <f>30558.73613</f>
        <v>30558.736130000001</v>
      </c>
      <c r="G48" s="35">
        <f>23767.90588</f>
        <v>23767.905879999998</v>
      </c>
      <c r="H48" s="35">
        <f>16977.07563</f>
        <v>16977.075629999999</v>
      </c>
      <c r="I48" s="35">
        <f>13581.6605</f>
        <v>13581.6605</v>
      </c>
      <c r="J48" s="35">
        <f>10186.24538</f>
        <v>10186.24538</v>
      </c>
      <c r="K48" s="35">
        <f>6790.830252</f>
        <v>6790.8302519999997</v>
      </c>
      <c r="L48" s="35">
        <f>3395.415126</f>
        <v>3395.4151259999999</v>
      </c>
      <c r="M48" s="35">
        <f>0</f>
        <v>0</v>
      </c>
      <c r="N48" s="38">
        <f t="shared" si="0"/>
        <v>19837.290599999993</v>
      </c>
      <c r="Q48" s="13">
        <v>0.95</v>
      </c>
      <c r="R48" s="35">
        <f>58556.98489</f>
        <v>58556.98489</v>
      </c>
      <c r="S48" s="35">
        <f>39829.67882</f>
        <v>39829.678820000001</v>
      </c>
      <c r="T48" s="35">
        <f>29227.46976</f>
        <v>29227.46976</v>
      </c>
      <c r="U48" s="35">
        <f>21920.60232</f>
        <v>21920.602320000002</v>
      </c>
      <c r="V48" s="35">
        <f>17049.35736</f>
        <v>17049.357360000002</v>
      </c>
      <c r="W48" s="35">
        <f>12178.1124</f>
        <v>12178.1124</v>
      </c>
      <c r="X48" s="35">
        <f>9742.489919</f>
        <v>9742.4899189999996</v>
      </c>
      <c r="Y48" s="35">
        <f>7306.86744</f>
        <v>7306.86744</v>
      </c>
      <c r="Z48" s="35">
        <f>4871.24496</f>
        <v>4871.24496</v>
      </c>
      <c r="AA48" s="35">
        <f>2435.62248</f>
        <v>2435.62248</v>
      </c>
      <c r="AB48" s="35">
        <f>0</f>
        <v>0</v>
      </c>
      <c r="AC48" s="38">
        <f t="shared" si="1"/>
        <v>10556.994989999999</v>
      </c>
    </row>
    <row r="49" spans="1:29" x14ac:dyDescent="0.35">
      <c r="B49" s="13">
        <v>0.99</v>
      </c>
      <c r="C49" s="35">
        <f>90299.17468</f>
        <v>90299.174679999996</v>
      </c>
      <c r="D49" s="35">
        <f>62473.67149</f>
        <v>62473.671490000001</v>
      </c>
      <c r="E49" s="35">
        <f>46632.30287</f>
        <v>46632.30287</v>
      </c>
      <c r="F49" s="35">
        <f>34974.22715</f>
        <v>34974.227149999999</v>
      </c>
      <c r="G49" s="35">
        <f>27202.17667</f>
        <v>27202.176670000001</v>
      </c>
      <c r="H49" s="35">
        <f>19430.1262</f>
        <v>19430.126199999999</v>
      </c>
      <c r="I49" s="35">
        <f>15544.10096</f>
        <v>15544.10096</v>
      </c>
      <c r="J49" s="35">
        <f>11658.07572</f>
        <v>11658.075720000001</v>
      </c>
      <c r="K49" s="35">
        <f>7772.050478</f>
        <v>7772.0504780000001</v>
      </c>
      <c r="L49" s="35">
        <f>3886.025239</f>
        <v>3886.0252390000001</v>
      </c>
      <c r="M49" s="35">
        <f>0</f>
        <v>0</v>
      </c>
      <c r="N49" s="38">
        <f t="shared" si="0"/>
        <v>30299.205539999995</v>
      </c>
      <c r="Q49" s="13">
        <v>0.99</v>
      </c>
      <c r="R49" s="35">
        <f>63814.92904</f>
        <v>63814.929040000003</v>
      </c>
      <c r="S49" s="35">
        <f>43253.69894</f>
        <v>43253.698940000002</v>
      </c>
      <c r="T49" s="35">
        <f>31815.81292</f>
        <v>31815.81292</v>
      </c>
      <c r="U49" s="35">
        <f>23861.85969</f>
        <v>23861.859690000001</v>
      </c>
      <c r="V49" s="35">
        <f>18559.2242</f>
        <v>18559.224200000001</v>
      </c>
      <c r="W49" s="35">
        <f>13256.58872</f>
        <v>13256.58872</v>
      </c>
      <c r="X49" s="35">
        <f>10605.27097</f>
        <v>10605.27097</v>
      </c>
      <c r="Y49" s="35">
        <f>7953.953229</f>
        <v>7953.9532289999997</v>
      </c>
      <c r="Z49" s="35">
        <f>5302.635486</f>
        <v>5302.6354860000001</v>
      </c>
      <c r="AA49" s="35">
        <f>2651.317743</f>
        <v>2651.3177430000001</v>
      </c>
      <c r="AB49" s="35">
        <f>0</f>
        <v>0</v>
      </c>
      <c r="AC49" s="38">
        <f t="shared" si="1"/>
        <v>15814.939140000002</v>
      </c>
    </row>
    <row r="50" spans="1:29" x14ac:dyDescent="0.35">
      <c r="B50" s="13">
        <v>0.995</v>
      </c>
      <c r="C50" s="35">
        <f>94399.94221</f>
        <v>94399.942209999994</v>
      </c>
      <c r="D50" s="35">
        <f>65629.80285</f>
        <v>65629.802849999993</v>
      </c>
      <c r="E50" s="35">
        <f>48992.19758</f>
        <v>48992.19758</v>
      </c>
      <c r="F50" s="35">
        <f>36744.14819</f>
        <v>36744.14819</v>
      </c>
      <c r="G50" s="35">
        <f>28578.78192</f>
        <v>28578.781920000001</v>
      </c>
      <c r="H50" s="35">
        <f>20413.41566</f>
        <v>20413.415659999999</v>
      </c>
      <c r="I50" s="35">
        <f>16330.73253</f>
        <v>16330.732529999999</v>
      </c>
      <c r="J50" s="35">
        <f>12248.0494</f>
        <v>12248.0494</v>
      </c>
      <c r="K50" s="35">
        <f>8165.366264</f>
        <v>8165.3662640000002</v>
      </c>
      <c r="L50" s="35">
        <f>4082.683132</f>
        <v>4082.6831320000001</v>
      </c>
      <c r="M50" s="35">
        <f>0</f>
        <v>0</v>
      </c>
      <c r="N50" s="38">
        <f t="shared" si="0"/>
        <v>34399.973069999993</v>
      </c>
      <c r="Q50" s="13">
        <v>0.995</v>
      </c>
      <c r="R50" s="35">
        <f>65712.65538</f>
        <v>65712.655379999997</v>
      </c>
      <c r="S50" s="35">
        <f>44566.17476</f>
        <v>44566.174760000002</v>
      </c>
      <c r="T50" s="35">
        <f>32818.83128</f>
        <v>32818.831279999999</v>
      </c>
      <c r="U50" s="35">
        <f>24614.12346</f>
        <v>24614.123459999999</v>
      </c>
      <c r="V50" s="35">
        <f>19144.31825</f>
        <v>19144.31825</v>
      </c>
      <c r="W50" s="35">
        <f>13674.51304</f>
        <v>13674.51304</v>
      </c>
      <c r="X50" s="35">
        <f>10939.61043</f>
        <v>10939.610430000001</v>
      </c>
      <c r="Y50" s="35">
        <f>8204.707821</f>
        <v>8204.707821</v>
      </c>
      <c r="Z50" s="35">
        <f>5469.805214</f>
        <v>5469.805214</v>
      </c>
      <c r="AA50" s="35">
        <f>2734.902607</f>
        <v>2734.902607</v>
      </c>
      <c r="AB50" s="35">
        <f>0</f>
        <v>0</v>
      </c>
      <c r="AC50" s="38">
        <f t="shared" si="1"/>
        <v>17712.665479999996</v>
      </c>
    </row>
    <row r="51" spans="1:29" x14ac:dyDescent="0.35">
      <c r="B51" s="13">
        <v>0.999</v>
      </c>
      <c r="C51" s="35">
        <f>104093.9582</f>
        <v>104093.95819999999</v>
      </c>
      <c r="D51" s="35">
        <f>72108.06931</f>
        <v>72108.069310000006</v>
      </c>
      <c r="E51" s="35">
        <f>54237.71439</f>
        <v>54237.714390000001</v>
      </c>
      <c r="F51" s="35">
        <f>40678.28579</f>
        <v>40678.285790000002</v>
      </c>
      <c r="G51" s="35">
        <f>31638.66673</f>
        <v>31638.666730000001</v>
      </c>
      <c r="H51" s="35">
        <f>22599.04766</f>
        <v>22599.04766</v>
      </c>
      <c r="I51" s="35">
        <f>18079.23813</f>
        <v>18079.238130000002</v>
      </c>
      <c r="J51" s="35">
        <f>13559.4286</f>
        <v>13559.428599999999</v>
      </c>
      <c r="K51" s="35">
        <f>9039.619065</f>
        <v>9039.6190650000008</v>
      </c>
      <c r="L51" s="35">
        <f>4519.809532</f>
        <v>4519.8095320000002</v>
      </c>
      <c r="M51" s="35">
        <f>0</f>
        <v>0</v>
      </c>
      <c r="N51" s="38">
        <f t="shared" si="0"/>
        <v>44093.989059999993</v>
      </c>
      <c r="Q51" s="13">
        <v>0.999</v>
      </c>
      <c r="R51" s="35">
        <f>70322.94721</f>
        <v>70322.947209999998</v>
      </c>
      <c r="S51" s="35">
        <f>47547.55251</f>
        <v>47547.552510000001</v>
      </c>
      <c r="T51" s="35">
        <f>34986.22487</f>
        <v>34986.224869999998</v>
      </c>
      <c r="U51" s="35">
        <f>26239.66865</f>
        <v>26239.66865</v>
      </c>
      <c r="V51" s="35">
        <f>20408.63117</f>
        <v>20408.631170000001</v>
      </c>
      <c r="W51" s="35">
        <f>14577.59369</f>
        <v>14577.59369</v>
      </c>
      <c r="X51" s="35">
        <f>11662.07496</f>
        <v>11662.07496</v>
      </c>
      <c r="Y51" s="35">
        <f>8746.556217</f>
        <v>8746.5562169999994</v>
      </c>
      <c r="Z51" s="35">
        <f>5831.037478</f>
        <v>5831.0374780000002</v>
      </c>
      <c r="AA51" s="35">
        <f>2915.518739</f>
        <v>2915.5187390000001</v>
      </c>
      <c r="AB51" s="35">
        <f>0</f>
        <v>0</v>
      </c>
      <c r="AC51" s="38">
        <f t="shared" si="1"/>
        <v>22322.957309999998</v>
      </c>
    </row>
    <row r="52" spans="1:29" x14ac:dyDescent="0.35">
      <c r="B52" s="13"/>
      <c r="C52" s="34"/>
      <c r="D52" s="37"/>
      <c r="Q52" s="13"/>
      <c r="R52" s="34"/>
      <c r="AC52" s="37"/>
    </row>
    <row r="53" spans="1:29" x14ac:dyDescent="0.35">
      <c r="A53" s="10" t="s">
        <v>60</v>
      </c>
      <c r="B53" s="12" t="s">
        <v>26</v>
      </c>
      <c r="C53" s="12" t="s">
        <v>25</v>
      </c>
      <c r="F53" s="3"/>
      <c r="G53" s="3"/>
      <c r="N53" s="37" t="s">
        <v>16</v>
      </c>
      <c r="P53" s="10" t="s">
        <v>60</v>
      </c>
      <c r="Q53" s="12" t="s">
        <v>26</v>
      </c>
      <c r="R53" s="12" t="s">
        <v>25</v>
      </c>
      <c r="U53" s="3"/>
      <c r="V53" s="3"/>
      <c r="AC53" s="37" t="s">
        <v>16</v>
      </c>
    </row>
    <row r="54" spans="1:29" x14ac:dyDescent="0.35">
      <c r="B54" s="22">
        <v>0.75</v>
      </c>
      <c r="C54" s="36">
        <f>VLOOKUP(Selected_VaR,Distr_Table_Gross,2,FALSE)</f>
        <v>66733.683170000004</v>
      </c>
      <c r="F54" s="5"/>
      <c r="G54" s="7"/>
      <c r="N54" s="38">
        <f>C54-Implied_Mean_Gross</f>
        <v>6733.7140300000028</v>
      </c>
      <c r="Q54" s="22">
        <f>Selected_VaR</f>
        <v>0.75</v>
      </c>
      <c r="R54" s="36">
        <f>VLOOKUP(Q54,Distr_Table_Net,2,FALSE)</f>
        <v>51806.541129999998</v>
      </c>
      <c r="U54" s="5"/>
      <c r="V54" s="7"/>
      <c r="AC54" s="38">
        <f>R54-Implied_Mean_Net</f>
        <v>3806.5512299999973</v>
      </c>
    </row>
    <row r="56" spans="1:29" x14ac:dyDescent="0.35">
      <c r="A56" t="s">
        <v>77</v>
      </c>
      <c r="P56" t="s">
        <v>77</v>
      </c>
    </row>
    <row r="57" spans="1:29" x14ac:dyDescent="0.35">
      <c r="A57" t="str">
        <f>A29&amp;" Estimate future Cash flows based on Monte-Carlo simulation."</f>
        <v>(3a) Estimate future Cash flows based on Monte-Carlo simulation.</v>
      </c>
      <c r="P57" t="str">
        <f>P29&amp;" Estimate future Cash flows based on Monte-Carlo simulation."</f>
        <v>(3a) Estimate future Cash flows based on Monte-Carlo simulation.</v>
      </c>
    </row>
    <row r="58" spans="1:29" x14ac:dyDescent="0.35">
      <c r="A58" t="str">
        <f>"         Implied RA = Estimated Future CFs - Implied mean from selected parameters "&amp;A9&amp;"."</f>
        <v xml:space="preserve">         Implied RA = Estimated Future CFs - Implied mean from selected parameters (1a).</v>
      </c>
      <c r="P58" t="str">
        <f>"         Implied RA = Estimated Future CFs - Implied mean from selected parameters "&amp;P9&amp;"."</f>
        <v xml:space="preserve">         Implied RA = Estimated Future CFs - Implied mean from selected parameters (1a).</v>
      </c>
    </row>
    <row r="59" spans="1:29" x14ac:dyDescent="0.35">
      <c r="A59" t="str">
        <f>A53&amp;" Lookup the implied RA related to the selected Confidence Level based on the result in "&amp;A29&amp;"."</f>
        <v>(3b) Lookup the implied RA related to the selected Confidence Level based on the result in (3a).</v>
      </c>
      <c r="P59" t="str">
        <f>P53&amp;" Lookup the implied RA related to the selected Confidence Level based on the result in "&amp;P29&amp;"."</f>
        <v>(3b) Lookup the implied RA related to the selected Confidence Level based on the result in (3a).</v>
      </c>
    </row>
    <row r="61" spans="1:29" x14ac:dyDescent="0.35">
      <c r="A61" s="78" t="str">
        <f>A1</f>
        <v>IFRS 17 Risk Adjustment for Non-Financial Risk for Property and Casualty Actuaries</v>
      </c>
      <c r="N61" s="79">
        <f>N1</f>
        <v>4</v>
      </c>
      <c r="P61" s="78" t="str">
        <f>P1</f>
        <v>IFRS 17 Risk Adjustment for Non-Financial Risk for Property and Casualty Actuaries</v>
      </c>
      <c r="AC61" s="79">
        <f>AC1</f>
        <v>4</v>
      </c>
    </row>
    <row r="62" spans="1:29" x14ac:dyDescent="0.35">
      <c r="A62" s="80" t="str">
        <f t="shared" ref="A62:A64" si="2">A2</f>
        <v>Illustrative Examples of Risk Adjustment Approach</v>
      </c>
      <c r="B62" s="57"/>
      <c r="C62" s="57"/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81">
        <f>N2+1</f>
        <v>2</v>
      </c>
      <c r="P62" s="80" t="str">
        <f t="shared" ref="P62:P64" si="3">P2</f>
        <v>Illustrative Examples of Risk Adjustment Approach</v>
      </c>
      <c r="Q62" s="57"/>
      <c r="R62" s="57"/>
      <c r="S62" s="57"/>
      <c r="T62" s="57"/>
      <c r="U62" s="57"/>
      <c r="V62" s="57"/>
      <c r="W62" s="57"/>
      <c r="X62" s="57"/>
      <c r="Y62" s="57"/>
      <c r="Z62" s="57"/>
      <c r="AA62" s="57"/>
      <c r="AB62" s="57"/>
      <c r="AC62" s="81">
        <f>AC2+1</f>
        <v>4</v>
      </c>
    </row>
    <row r="63" spans="1:29" ht="18.5" x14ac:dyDescent="0.45">
      <c r="A63" s="45" t="str">
        <f t="shared" si="2"/>
        <v>Total (Long-Tail and Short-Tail Portfolios Combined) - Monte Carlo Simulation</v>
      </c>
      <c r="P63" s="45" t="str">
        <f t="shared" si="3"/>
        <v>Total (Long-Tail and Short-Tail Portfolios Combined) - Monte Carlo Simulation</v>
      </c>
    </row>
    <row r="64" spans="1:29" ht="18.5" x14ac:dyDescent="0.45">
      <c r="A64" s="45" t="str">
        <f t="shared" si="2"/>
        <v>Gross of Reinsurance in (000)</v>
      </c>
      <c r="P64" s="45" t="str">
        <f t="shared" si="3"/>
        <v>Net of Reinsurance in (000)</v>
      </c>
    </row>
    <row r="66" spans="1:28" x14ac:dyDescent="0.35">
      <c r="A66" s="1" t="s">
        <v>27</v>
      </c>
      <c r="P66" s="1" t="s">
        <v>27</v>
      </c>
    </row>
    <row r="67" spans="1:28" x14ac:dyDescent="0.35">
      <c r="A67" s="1"/>
      <c r="C67" s="54"/>
      <c r="D67" s="54"/>
      <c r="E67" s="54"/>
      <c r="F67" s="54"/>
      <c r="G67" s="54"/>
      <c r="H67" s="54"/>
      <c r="I67" s="54"/>
      <c r="J67" s="54"/>
      <c r="K67" s="54"/>
      <c r="L67" s="54"/>
      <c r="M67" s="54"/>
      <c r="P67" s="1"/>
    </row>
    <row r="68" spans="1:28" x14ac:dyDescent="0.35">
      <c r="A68" s="10" t="s">
        <v>61</v>
      </c>
      <c r="B68" t="s">
        <v>24</v>
      </c>
      <c r="C68" s="40">
        <v>0.99</v>
      </c>
      <c r="P68" s="10" t="s">
        <v>61</v>
      </c>
      <c r="Q68" t="s">
        <v>24</v>
      </c>
      <c r="R68" s="47">
        <f>+Selected_Risk_Appetite_Percentile</f>
        <v>0.99</v>
      </c>
    </row>
    <row r="69" spans="1:28" x14ac:dyDescent="0.35">
      <c r="A69" s="10" t="s">
        <v>62</v>
      </c>
      <c r="B69" t="s">
        <v>28</v>
      </c>
      <c r="C69" s="48">
        <f t="shared" ref="C69" si="4">VLOOKUP(Selected_Risk_Appetite_Percentile,$B30:$M51,C67+2)-C9</f>
        <v>30299.205539999995</v>
      </c>
      <c r="D69" s="48"/>
      <c r="E69" s="48"/>
      <c r="F69" s="48"/>
      <c r="G69" s="48"/>
      <c r="H69" s="48"/>
      <c r="I69" s="48"/>
      <c r="J69" s="48"/>
      <c r="K69" s="48"/>
      <c r="L69" s="48"/>
      <c r="M69" s="48"/>
      <c r="P69" s="10" t="s">
        <v>62</v>
      </c>
      <c r="Q69" t="s">
        <v>28</v>
      </c>
      <c r="R69" s="48">
        <f t="shared" ref="R69" si="5">VLOOKUP(Selected_Risk_Appetite_Percentile,$Q30:$AB51,R67+2)-R9</f>
        <v>15814.939140000002</v>
      </c>
      <c r="S69" s="48"/>
      <c r="T69" s="48"/>
      <c r="U69" s="48"/>
      <c r="V69" s="48"/>
      <c r="W69" s="48"/>
      <c r="X69" s="48"/>
      <c r="Y69" s="48"/>
      <c r="Z69" s="48"/>
      <c r="AA69" s="48"/>
      <c r="AB69" s="48"/>
    </row>
    <row r="70" spans="1:28" x14ac:dyDescent="0.35">
      <c r="A70" s="10" t="s">
        <v>63</v>
      </c>
      <c r="B70" t="s">
        <v>13</v>
      </c>
      <c r="C70" s="40">
        <v>1</v>
      </c>
      <c r="P70" s="10" t="s">
        <v>63</v>
      </c>
      <c r="Q70" t="s">
        <v>13</v>
      </c>
      <c r="R70" s="40">
        <v>1</v>
      </c>
    </row>
    <row r="71" spans="1:28" x14ac:dyDescent="0.35">
      <c r="A71" s="10" t="s">
        <v>64</v>
      </c>
      <c r="B71" t="s">
        <v>29</v>
      </c>
      <c r="C71" s="39">
        <f>+$C70*C69</f>
        <v>30299.205539999995</v>
      </c>
      <c r="D71" s="39"/>
      <c r="E71" s="39"/>
      <c r="F71" s="39"/>
      <c r="G71" s="39"/>
      <c r="H71" s="39"/>
      <c r="I71" s="39"/>
      <c r="J71" s="39"/>
      <c r="K71" s="39"/>
      <c r="L71" s="39"/>
      <c r="M71" s="39"/>
      <c r="P71" s="10" t="s">
        <v>64</v>
      </c>
      <c r="Q71" t="s">
        <v>29</v>
      </c>
      <c r="R71" s="39">
        <f>+$R70*R69</f>
        <v>15814.939140000002</v>
      </c>
      <c r="S71" s="39"/>
      <c r="T71" s="39"/>
      <c r="U71" s="39"/>
      <c r="V71" s="39"/>
      <c r="W71" s="39"/>
      <c r="X71" s="39"/>
      <c r="Y71" s="39"/>
      <c r="Z71" s="39"/>
      <c r="AA71" s="39"/>
      <c r="AB71" s="39"/>
    </row>
    <row r="72" spans="1:28" x14ac:dyDescent="0.35">
      <c r="A72" s="10" t="s">
        <v>65</v>
      </c>
      <c r="B72" t="s">
        <v>9</v>
      </c>
      <c r="C72" s="23">
        <v>0.02</v>
      </c>
      <c r="P72" s="10" t="s">
        <v>65</v>
      </c>
      <c r="Q72" t="s">
        <v>9</v>
      </c>
      <c r="R72" s="46">
        <f>Rf_Rate</f>
        <v>0.02</v>
      </c>
    </row>
    <row r="74" spans="1:28" x14ac:dyDescent="0.35">
      <c r="A74" s="10" t="s">
        <v>68</v>
      </c>
      <c r="B74" s="2" t="s">
        <v>31</v>
      </c>
      <c r="C74" s="12" t="s">
        <v>3</v>
      </c>
      <c r="D74" s="12" t="s">
        <v>4</v>
      </c>
      <c r="E74" s="12" t="s">
        <v>5</v>
      </c>
      <c r="F74" s="12" t="s">
        <v>6</v>
      </c>
      <c r="G74" s="12" t="s">
        <v>7</v>
      </c>
      <c r="H74" s="12" t="s">
        <v>8</v>
      </c>
      <c r="I74" s="12" t="s">
        <v>36</v>
      </c>
      <c r="J74" s="12" t="s">
        <v>37</v>
      </c>
      <c r="K74" s="12" t="s">
        <v>38</v>
      </c>
      <c r="L74" s="12" t="s">
        <v>39</v>
      </c>
      <c r="M74" s="12" t="s">
        <v>40</v>
      </c>
      <c r="P74" s="10" t="s">
        <v>68</v>
      </c>
      <c r="Q74" s="2" t="s">
        <v>31</v>
      </c>
      <c r="R74" s="12" t="s">
        <v>3</v>
      </c>
      <c r="S74" s="12" t="s">
        <v>4</v>
      </c>
      <c r="T74" s="12" t="s">
        <v>5</v>
      </c>
      <c r="U74" s="12" t="s">
        <v>6</v>
      </c>
      <c r="V74" s="12" t="s">
        <v>7</v>
      </c>
      <c r="W74" s="12" t="s">
        <v>8</v>
      </c>
      <c r="X74" s="12" t="s">
        <v>36</v>
      </c>
      <c r="Y74" s="12" t="s">
        <v>37</v>
      </c>
      <c r="Z74" s="12" t="s">
        <v>38</v>
      </c>
      <c r="AA74" s="12" t="s">
        <v>39</v>
      </c>
      <c r="AB74" s="12" t="s">
        <v>40</v>
      </c>
    </row>
    <row r="75" spans="1:28" x14ac:dyDescent="0.35">
      <c r="B75" t="s">
        <v>92</v>
      </c>
      <c r="C75" s="52">
        <v>1</v>
      </c>
      <c r="D75" s="53">
        <f t="shared" ref="D75:M75" si="6">D77/Capital_T0_Gross</f>
        <v>0.70872135019022686</v>
      </c>
      <c r="E75" s="53">
        <f t="shared" si="6"/>
        <v>0.54893585272533196</v>
      </c>
      <c r="F75" s="53">
        <f t="shared" si="6"/>
        <v>0.4117018894614885</v>
      </c>
      <c r="G75" s="53">
        <f t="shared" si="6"/>
        <v>0.32021258039889849</v>
      </c>
      <c r="H75" s="53">
        <f t="shared" si="6"/>
        <v>0.22872327199639172</v>
      </c>
      <c r="I75" s="53">
        <f t="shared" si="6"/>
        <v>0.18297861763011758</v>
      </c>
      <c r="J75" s="53">
        <f t="shared" si="6"/>
        <v>0.13723396323083928</v>
      </c>
      <c r="K75" s="53">
        <f t="shared" si="6"/>
        <v>9.1489308765552557E-2</v>
      </c>
      <c r="L75" s="53">
        <f t="shared" si="6"/>
        <v>4.5744654366274201E-2</v>
      </c>
      <c r="M75" s="53">
        <f t="shared" si="6"/>
        <v>0</v>
      </c>
      <c r="Q75" t="s">
        <v>92</v>
      </c>
      <c r="R75" s="52">
        <v>1</v>
      </c>
      <c r="S75" s="53">
        <f t="shared" ref="S75:AB75" si="7">S77/Capital_T0_Net</f>
        <v>0.66100196829464364</v>
      </c>
      <c r="T75" s="53">
        <f t="shared" si="7"/>
        <v>0.49420475038261835</v>
      </c>
      <c r="U75" s="53">
        <f t="shared" si="7"/>
        <v>0.3706535629450422</v>
      </c>
      <c r="V75" s="53">
        <f t="shared" si="7"/>
        <v>0.28828610465332466</v>
      </c>
      <c r="W75" s="53">
        <f t="shared" si="7"/>
        <v>0.20591864636160717</v>
      </c>
      <c r="X75" s="53">
        <f t="shared" si="7"/>
        <v>0.16473491670989759</v>
      </c>
      <c r="Y75" s="53">
        <f t="shared" si="7"/>
        <v>0.12355118762727021</v>
      </c>
      <c r="Z75" s="53">
        <f t="shared" si="7"/>
        <v>8.2367458418180176E-2</v>
      </c>
      <c r="AA75" s="53">
        <f t="shared" si="7"/>
        <v>4.1183729209090088E-2</v>
      </c>
      <c r="AB75" s="53">
        <f t="shared" si="7"/>
        <v>0</v>
      </c>
    </row>
    <row r="77" spans="1:28" x14ac:dyDescent="0.35">
      <c r="A77" s="10" t="s">
        <v>69</v>
      </c>
      <c r="B77" t="s">
        <v>66</v>
      </c>
      <c r="C77" s="16">
        <f t="shared" ref="C77" si="8">+C71</f>
        <v>30299.205539999995</v>
      </c>
      <c r="D77" s="16">
        <f t="shared" ref="D77:M77" si="9">$C$70*(VLOOKUP(Selected_Risk_Appetite_Percentile,$B30:$M51,VALUE(RIGHT(D74,LEN(D74)-1))+2)-D9)</f>
        <v>21473.693859999999</v>
      </c>
      <c r="E77" s="16">
        <f t="shared" si="9"/>
        <v>16632.320230000001</v>
      </c>
      <c r="F77" s="16">
        <f t="shared" si="9"/>
        <v>12474.240169999997</v>
      </c>
      <c r="G77" s="16">
        <f t="shared" si="9"/>
        <v>9702.1867899999997</v>
      </c>
      <c r="H77" s="16">
        <f t="shared" si="9"/>
        <v>6930.133429999998</v>
      </c>
      <c r="I77" s="16">
        <f t="shared" si="9"/>
        <v>5544.1067449999991</v>
      </c>
      <c r="J77" s="16">
        <f t="shared" si="9"/>
        <v>4158.0800590000008</v>
      </c>
      <c r="K77" s="16">
        <f t="shared" si="9"/>
        <v>2772.053371</v>
      </c>
      <c r="L77" s="16">
        <f t="shared" si="9"/>
        <v>1386.0266850000003</v>
      </c>
      <c r="M77" s="16">
        <f t="shared" si="9"/>
        <v>0</v>
      </c>
      <c r="P77" s="10" t="s">
        <v>69</v>
      </c>
      <c r="Q77" t="s">
        <v>66</v>
      </c>
      <c r="R77" s="16">
        <f>+Capital_T0_Net</f>
        <v>15814.939140000002</v>
      </c>
      <c r="S77" s="16">
        <f t="shared" ref="S77:AB77" si="10">+$R70*(VLOOKUP(Selected_Risk_Appetite_Percentile,$Q30:$AB51,VALUE(RIGHT(S74,LEN(D74)-1))+2)-S9)</f>
        <v>10453.705900000001</v>
      </c>
      <c r="T77" s="16">
        <f t="shared" si="10"/>
        <v>7815.8180500000017</v>
      </c>
      <c r="U77" s="16">
        <f t="shared" si="10"/>
        <v>5861.8635400000021</v>
      </c>
      <c r="V77" s="16">
        <f t="shared" si="10"/>
        <v>4559.2272000000012</v>
      </c>
      <c r="W77" s="16">
        <f t="shared" si="10"/>
        <v>3256.5908600000002</v>
      </c>
      <c r="X77" s="16">
        <f t="shared" si="10"/>
        <v>2605.2726819999998</v>
      </c>
      <c r="Y77" s="16">
        <f t="shared" si="10"/>
        <v>1953.9545129999997</v>
      </c>
      <c r="Z77" s="16">
        <f t="shared" si="10"/>
        <v>1302.6363420000002</v>
      </c>
      <c r="AA77" s="16">
        <f t="shared" si="10"/>
        <v>651.31817100000012</v>
      </c>
      <c r="AB77" s="16">
        <f t="shared" si="10"/>
        <v>0</v>
      </c>
    </row>
    <row r="78" spans="1:28" x14ac:dyDescent="0.35">
      <c r="A78" s="10" t="s">
        <v>70</v>
      </c>
      <c r="B78" t="s">
        <v>15</v>
      </c>
      <c r="C78" s="39">
        <f>CoC_Rate*C77</f>
        <v>3029.9205539999998</v>
      </c>
      <c r="D78" s="16">
        <f t="shared" ref="D78:H78" si="11">CoC_Rate*D77</f>
        <v>2147.3693859999998</v>
      </c>
      <c r="E78" s="16">
        <f t="shared" si="11"/>
        <v>1663.2320230000003</v>
      </c>
      <c r="F78" s="16">
        <f t="shared" si="11"/>
        <v>1247.4240169999998</v>
      </c>
      <c r="G78" s="16">
        <f t="shared" si="11"/>
        <v>970.21867900000007</v>
      </c>
      <c r="H78" s="16">
        <f t="shared" si="11"/>
        <v>693.01334299999985</v>
      </c>
      <c r="I78" s="16">
        <f t="shared" ref="I78:M78" si="12">CoC_Rate*I77</f>
        <v>554.41067449999991</v>
      </c>
      <c r="J78" s="16">
        <f t="shared" si="12"/>
        <v>415.80800590000013</v>
      </c>
      <c r="K78" s="16">
        <f t="shared" si="12"/>
        <v>277.20533710000001</v>
      </c>
      <c r="L78" s="16">
        <f t="shared" si="12"/>
        <v>138.60266850000002</v>
      </c>
      <c r="M78" s="16">
        <f t="shared" si="12"/>
        <v>0</v>
      </c>
      <c r="P78" s="10" t="s">
        <v>70</v>
      </c>
      <c r="Q78" t="s">
        <v>15</v>
      </c>
      <c r="R78" s="39">
        <f>CoC_Rate*R77</f>
        <v>1581.4939140000004</v>
      </c>
      <c r="S78" s="16">
        <f t="shared" ref="S78:AB78" si="13">CoC_Rate*S77</f>
        <v>1045.3705900000002</v>
      </c>
      <c r="T78" s="16">
        <f t="shared" si="13"/>
        <v>781.58180500000026</v>
      </c>
      <c r="U78" s="16">
        <f t="shared" si="13"/>
        <v>586.18635400000028</v>
      </c>
      <c r="V78" s="16">
        <f t="shared" si="13"/>
        <v>455.92272000000014</v>
      </c>
      <c r="W78" s="16">
        <f t="shared" si="13"/>
        <v>325.65908600000006</v>
      </c>
      <c r="X78" s="16">
        <f t="shared" si="13"/>
        <v>260.52726819999998</v>
      </c>
      <c r="Y78" s="16">
        <f t="shared" si="13"/>
        <v>195.39545129999999</v>
      </c>
      <c r="Z78" s="16">
        <f t="shared" si="13"/>
        <v>130.26363420000004</v>
      </c>
      <c r="AA78" s="16">
        <f t="shared" si="13"/>
        <v>65.131817100000021</v>
      </c>
      <c r="AB78" s="16">
        <f t="shared" si="13"/>
        <v>0</v>
      </c>
    </row>
    <row r="79" spans="1:28" x14ac:dyDescent="0.35">
      <c r="A79" s="10" t="s">
        <v>71</v>
      </c>
      <c r="B79" t="s">
        <v>67</v>
      </c>
      <c r="C79" s="18">
        <f>(1+Rf_Rate)^-COUNTA($C$74:C74)</f>
        <v>0.98039215686274506</v>
      </c>
      <c r="D79" s="18">
        <f>(1+Rf_Rate)^-COUNTA($C$74:D74)</f>
        <v>0.96116878123798544</v>
      </c>
      <c r="E79" s="18">
        <f>(1+Rf_Rate)^-COUNTA($C$74:E74)</f>
        <v>0.94232233454704462</v>
      </c>
      <c r="F79" s="18">
        <f>(1+Rf_Rate)^-COUNTA($C$74:F74)</f>
        <v>0.9238454260265142</v>
      </c>
      <c r="G79" s="18">
        <f>(1+Rf_Rate)^-COUNTA($C$74:G74)</f>
        <v>0.90573080982991594</v>
      </c>
      <c r="H79" s="18">
        <f>(1+Rf_Rate)^-COUNTA($C$74:H74)</f>
        <v>0.88797138218619198</v>
      </c>
      <c r="I79" s="18">
        <f>(1+Rf_Rate)^-COUNTA($C$74:I74)</f>
        <v>0.87056017861391388</v>
      </c>
      <c r="J79" s="18">
        <f>(1+Rf_Rate)^-COUNTA($C$74:J74)</f>
        <v>0.85349037119011162</v>
      </c>
      <c r="K79" s="18">
        <f>(1+Rf_Rate)^-COUNTA($C$74:K74)</f>
        <v>0.83675526587265847</v>
      </c>
      <c r="L79" s="18">
        <f>(1+Rf_Rate)^-COUNTA($C$74:L74)</f>
        <v>0.82034829987515534</v>
      </c>
      <c r="M79" s="18">
        <f>(1+Rf_Rate)^-COUNTA($C$74:M74)</f>
        <v>0.80426303909328967</v>
      </c>
      <c r="P79" s="10" t="s">
        <v>71</v>
      </c>
      <c r="Q79" t="s">
        <v>67</v>
      </c>
      <c r="R79" s="18">
        <f>(1+Rf_Rate)^-COUNTA($R$74:R74)</f>
        <v>0.98039215686274506</v>
      </c>
      <c r="S79" s="18">
        <f>(1+Rf_Rate)^-COUNTA($R$74:S74)</f>
        <v>0.96116878123798544</v>
      </c>
      <c r="T79" s="18">
        <f>(1+Rf_Rate)^-COUNTA($R$74:T74)</f>
        <v>0.94232233454704462</v>
      </c>
      <c r="U79" s="18">
        <f>(1+Rf_Rate)^-COUNTA($R$74:U74)</f>
        <v>0.9238454260265142</v>
      </c>
      <c r="V79" s="18">
        <f>(1+Rf_Rate)^-COUNTA($R$74:V74)</f>
        <v>0.90573080982991594</v>
      </c>
      <c r="W79" s="18">
        <f>(1+Rf_Rate)^-COUNTA($R$74:W74)</f>
        <v>0.88797138218619198</v>
      </c>
      <c r="X79" s="18">
        <f>(1+Rf_Rate)^-COUNTA($R$74:X74)</f>
        <v>0.87056017861391388</v>
      </c>
      <c r="Y79" s="18">
        <f>(1+Rf_Rate)^-COUNTA($R$74:Y74)</f>
        <v>0.85349037119011162</v>
      </c>
      <c r="Z79" s="18">
        <f>(1+Rf_Rate)^-COUNTA($R$74:Z74)</f>
        <v>0.83675526587265847</v>
      </c>
      <c r="AA79" s="18">
        <f>(1+Rf_Rate)^-COUNTA($R$74:AA74)</f>
        <v>0.82034829987515534</v>
      </c>
      <c r="AB79" s="18">
        <f>(1+Rf_Rate)^-COUNTA($R$74:AB74)</f>
        <v>0.80426303909328967</v>
      </c>
    </row>
    <row r="80" spans="1:28" x14ac:dyDescent="0.35">
      <c r="A80" s="10" t="s">
        <v>72</v>
      </c>
      <c r="B80" t="s">
        <v>10</v>
      </c>
      <c r="C80" s="16">
        <f>C78*C79</f>
        <v>2970.5103470588233</v>
      </c>
      <c r="D80" s="16">
        <f t="shared" ref="D80:H80" si="14">D78*D79</f>
        <v>2063.9844156093809</v>
      </c>
      <c r="E80" s="16">
        <f t="shared" si="14"/>
        <v>1567.3006828067641</v>
      </c>
      <c r="F80" s="16">
        <f t="shared" si="14"/>
        <v>1152.4269724210706</v>
      </c>
      <c r="G80" s="16">
        <f t="shared" si="14"/>
        <v>878.7569498427813</v>
      </c>
      <c r="H80" s="16">
        <f t="shared" si="14"/>
        <v>615.37601605718339</v>
      </c>
      <c r="I80" s="16">
        <f t="shared" ref="I80:M80" si="15">I78*I79</f>
        <v>482.6478558181804</v>
      </c>
      <c r="J80" s="16">
        <f t="shared" si="15"/>
        <v>354.88812929941122</v>
      </c>
      <c r="K80" s="16">
        <f t="shared" si="15"/>
        <v>231.95302554643041</v>
      </c>
      <c r="L80" s="16">
        <f t="shared" si="15"/>
        <v>113.70246346213476</v>
      </c>
      <c r="M80" s="16">
        <f t="shared" si="15"/>
        <v>0</v>
      </c>
      <c r="P80" s="10" t="s">
        <v>72</v>
      </c>
      <c r="Q80" t="s">
        <v>10</v>
      </c>
      <c r="R80" s="16">
        <f>R78*R79</f>
        <v>1550.484229411765</v>
      </c>
      <c r="S80" s="16">
        <f t="shared" ref="S80:AB80" si="16">S78*S79</f>
        <v>1004.777575932334</v>
      </c>
      <c r="T80" s="16">
        <f t="shared" si="16"/>
        <v>736.50199112709322</v>
      </c>
      <c r="U80" s="16">
        <f t="shared" si="16"/>
        <v>541.54558194205936</v>
      </c>
      <c r="V80" s="16">
        <f t="shared" si="16"/>
        <v>412.94325440545816</v>
      </c>
      <c r="W80" s="16">
        <f t="shared" si="16"/>
        <v>289.17594871691199</v>
      </c>
      <c r="X80" s="16">
        <f t="shared" si="16"/>
        <v>226.80466513798703</v>
      </c>
      <c r="Y80" s="16">
        <f t="shared" si="16"/>
        <v>166.76813625889636</v>
      </c>
      <c r="Z80" s="16">
        <f t="shared" si="16"/>
        <v>108.99878186855976</v>
      </c>
      <c r="AA80" s="16">
        <f t="shared" si="16"/>
        <v>53.430775425764587</v>
      </c>
      <c r="AB80" s="16">
        <f t="shared" si="16"/>
        <v>0</v>
      </c>
    </row>
    <row r="81" spans="1:23" x14ac:dyDescent="0.35">
      <c r="C81" s="5"/>
      <c r="D81" s="5"/>
      <c r="E81" s="5"/>
      <c r="F81" s="5"/>
      <c r="G81" s="5"/>
      <c r="H81" s="5"/>
      <c r="R81" s="5"/>
      <c r="S81" s="5"/>
      <c r="T81" s="5"/>
      <c r="U81" s="5"/>
      <c r="V81" s="5"/>
      <c r="W81" s="5"/>
    </row>
    <row r="82" spans="1:23" ht="30" x14ac:dyDescent="0.45">
      <c r="C82" s="12" t="s">
        <v>32</v>
      </c>
      <c r="D82" s="12" t="s">
        <v>11</v>
      </c>
      <c r="E82" s="14" t="s">
        <v>35</v>
      </c>
      <c r="R82" s="12" t="s">
        <v>32</v>
      </c>
      <c r="S82" s="12" t="s">
        <v>11</v>
      </c>
      <c r="T82" s="14" t="s">
        <v>35</v>
      </c>
    </row>
    <row r="83" spans="1:23" x14ac:dyDescent="0.35">
      <c r="A83" s="10" t="s">
        <v>73</v>
      </c>
      <c r="B83" t="s">
        <v>18</v>
      </c>
      <c r="C83" s="23">
        <v>0.1</v>
      </c>
      <c r="D83" s="19">
        <f>SUM(C80:M80)</f>
        <v>10431.546857922162</v>
      </c>
      <c r="E83" s="44">
        <f ca="1">(OFFSET(INDEX(Distr_Table_Gross,MATCH(D83,RA_Distr_Gross,1),1),1,0)-INDEX(Distr_Table_Gross,MATCH(D83,RA_Distr_Gross,1),1))/(OFFSET(INDEX(Distr_Table_Gross,MATCH(D83,RA_Distr_Gross,1),13),1,0)-INDEX(Distr_Table_Gross,MATCH(D83,RA_Distr_Gross,1),13))*(D83-INDEX(Distr_Table_Gross,MATCH(D83,RA_Distr_Gross,1),13))+INDEX(Distr_Table_Gross,MATCH(D83,RA_Distr_Gross,1),1)</f>
        <v>0.83168222783950596</v>
      </c>
      <c r="P83" s="10" t="s">
        <v>73</v>
      </c>
      <c r="Q83" t="s">
        <v>18</v>
      </c>
      <c r="R83" s="23">
        <f>+CoC_Rate</f>
        <v>0.1</v>
      </c>
      <c r="S83" s="19">
        <f>SUM(R80:AB80)</f>
        <v>5091.43094022683</v>
      </c>
      <c r="T83" s="44">
        <f ca="1">(OFFSET(INDEX(Distr_Table_Net,MATCH(S83,RA_Distr_Net,1),1),1,0)-INDEX(Distr_Table_Net,MATCH(S83,RA_Distr_Net,1),1))/(OFFSET(INDEX(Distr_Table_Net,MATCH(S83,RA_Distr_Net,1),13),1,0)-INDEX(Distr_Table_Net,MATCH(S83,RA_Distr_Net,1),13))*(S83-INDEX(Distr_Table_Net,MATCH(S83,RA_Distr_Net,1),13))+INDEX(Distr_Table_Net,MATCH(S83,RA_Distr_Net,1),1)</f>
        <v>0.80695297945151712</v>
      </c>
    </row>
    <row r="84" spans="1:23" x14ac:dyDescent="0.35">
      <c r="A84" s="24" t="s">
        <v>74</v>
      </c>
      <c r="B84" s="25" t="s">
        <v>34</v>
      </c>
      <c r="C84" s="32">
        <f>D84/SUMPRODUCT(C77:M77,C79:M79)</f>
        <v>6.455144305742283E-2</v>
      </c>
      <c r="D84" s="41">
        <f>$N$54</f>
        <v>6733.7140300000028</v>
      </c>
      <c r="E84" s="43">
        <f>Selected_VaR</f>
        <v>0.75</v>
      </c>
      <c r="P84" s="24" t="s">
        <v>74</v>
      </c>
      <c r="Q84" s="25" t="s">
        <v>34</v>
      </c>
      <c r="R84" s="32">
        <f>S84/SUMPRODUCT(R77:AB77,R79:AB79)</f>
        <v>7.4763878263080438E-2</v>
      </c>
      <c r="S84" s="41">
        <f>$AC$54</f>
        <v>3806.5512299999973</v>
      </c>
      <c r="T84" s="43">
        <f>Selected_VaR</f>
        <v>0.75</v>
      </c>
    </row>
    <row r="85" spans="1:23" x14ac:dyDescent="0.35">
      <c r="C85" s="9"/>
      <c r="D85" s="7"/>
      <c r="H85" s="102" t="s">
        <v>33</v>
      </c>
      <c r="R85" s="9"/>
      <c r="S85" s="7"/>
      <c r="W85" s="102" t="s">
        <v>33</v>
      </c>
    </row>
    <row r="86" spans="1:23" x14ac:dyDescent="0.35">
      <c r="A86" t="s">
        <v>77</v>
      </c>
      <c r="C86" s="9"/>
      <c r="D86" s="7"/>
      <c r="P86" t="s">
        <v>77</v>
      </c>
      <c r="R86" s="9"/>
      <c r="S86" s="7"/>
    </row>
    <row r="87" spans="1:23" x14ac:dyDescent="0.35">
      <c r="A87" t="str">
        <f>A68&amp;", "&amp;A70&amp;","&amp;A72&amp;", and "&amp;A74&amp;" Judgementally selected. "</f>
        <v xml:space="preserve">(4a), (4c),(4e), and (4f) Judgementally selected. </v>
      </c>
      <c r="C87" s="9"/>
      <c r="D87" s="7"/>
      <c r="P87" t="str">
        <f>P68&amp;", "&amp;P70&amp;","&amp;P72&amp;", and "&amp;P74&amp;" Judgementally selected. "</f>
        <v xml:space="preserve">(4a), (4c),(4e), and (4f) Judgementally selected. </v>
      </c>
      <c r="R87" s="9"/>
      <c r="S87" s="7"/>
    </row>
    <row r="88" spans="1:23" x14ac:dyDescent="0.35">
      <c r="A88" t="str">
        <f>A69&amp;" Look up from "&amp;A29&amp;" the required capital related to the selected risk appetite percentile in "&amp;A68&amp;"."</f>
        <v>(4b) Look up from (3a) the required capital related to the selected risk appetite percentile in (4a).</v>
      </c>
      <c r="C88" s="9"/>
      <c r="D88" s="7"/>
      <c r="P88" t="str">
        <f>P69&amp;" Look up from "&amp;P29&amp;" the required capital related to the selected risk appetite percentile in "&amp;P68&amp;"."</f>
        <v>(4b) Look up from (3a) the required capital related to the selected risk appetite percentile in (4a).</v>
      </c>
      <c r="R88" s="9"/>
      <c r="S88" s="7"/>
    </row>
    <row r="89" spans="1:23" x14ac:dyDescent="0.35">
      <c r="A89" t="str">
        <f>A71&amp;" = ["&amp;A69&amp;" x "&amp;A70&amp;"]."</f>
        <v>(4d) = [(4b) x (4c)].</v>
      </c>
      <c r="C89" s="9"/>
      <c r="D89" s="7"/>
      <c r="P89" t="str">
        <f>P71&amp;" = ["&amp;P69&amp;" x "&amp;P70&amp;"]."</f>
        <v>(4d) = [(4b) x (4c)].</v>
      </c>
      <c r="R89" s="9"/>
      <c r="S89" s="7"/>
    </row>
    <row r="90" spans="1:23" x14ac:dyDescent="0.35">
      <c r="A90" t="str">
        <f>A77&amp;" = "&amp;A70&amp;" x ("&amp;" Look up from "&amp;A29&amp;" the required capital at time T related to the selected risk appetite percentile in "&amp;A68&amp;".)"</f>
        <v>(4g) = (4c) x ( Look up from (3a) the required capital at time T related to the selected risk appetite percentile in (4a).)</v>
      </c>
      <c r="C90" s="9"/>
      <c r="D90" s="7"/>
      <c r="P90" t="str">
        <f>P77&amp;" = "&amp;P70&amp;" x ("&amp;" Look up from "&amp;P29&amp;" the required capital at time T related to the selected risk appetite percentile in "&amp;P68&amp;".)"</f>
        <v>(4g) = (4c) x ( Look up from (3a) the required capital at time T related to the selected risk appetite percentile in (4a).)</v>
      </c>
      <c r="R90" s="9"/>
      <c r="S90" s="7"/>
    </row>
    <row r="91" spans="1:23" x14ac:dyDescent="0.35">
      <c r="A91" t="str">
        <f>A78&amp;" = ["&amp;A77&amp;" x "&amp;A83&amp;" selected Cost of Capital rate]."</f>
        <v>(4h) = [(4g) x (4k) selected Cost of Capital rate].</v>
      </c>
      <c r="C91" s="9"/>
      <c r="D91" s="7"/>
      <c r="P91" t="str">
        <f>P78&amp;" = ["&amp;P77&amp;" x "&amp;P83&amp;" selected Cost of capital rate]."</f>
        <v>(4h) = [(4g) x (4k) selected Cost of capital rate].</v>
      </c>
      <c r="R91" s="9"/>
      <c r="S91" s="7"/>
    </row>
    <row r="92" spans="1:23" x14ac:dyDescent="0.35">
      <c r="A92" t="str">
        <f>A79&amp;" = [(1 + "&amp;A72&amp;")^(T0 -Ti)] where i = 1, 2, .... 10."</f>
        <v>(4i) = [(1 + (4e))^(T0 -Ti)] where i = 1, 2, .... 10.</v>
      </c>
      <c r="C92" s="9"/>
      <c r="D92" s="7"/>
      <c r="P92" t="str">
        <f>P79&amp;" = [(1 + "&amp;P72&amp;")^(T0 -Ti)] where i = 1, 2, .... 10."</f>
        <v>(4i) = [(1 + (4e))^(T0 -Ti)] where i = 1, 2, .... 10.</v>
      </c>
      <c r="R92" s="9"/>
      <c r="S92" s="7"/>
    </row>
    <row r="93" spans="1:23" x14ac:dyDescent="0.35">
      <c r="A93" t="str">
        <f>A80&amp;" = ["&amp;A78&amp;" x "&amp;A79&amp;"]."</f>
        <v>(4j) = [(4h) x (4i)].</v>
      </c>
      <c r="C93" s="9"/>
      <c r="D93" s="7"/>
      <c r="P93" t="str">
        <f>P80&amp;" = ["&amp;P78&amp;" x "&amp;P79&amp;"]."</f>
        <v>(4j) = [(4h) x (4i)].</v>
      </c>
      <c r="R93" s="9"/>
      <c r="S93" s="7"/>
    </row>
    <row r="94" spans="1:23" x14ac:dyDescent="0.35">
      <c r="A94" t="str">
        <f>A83&amp;" Risk Adjustment = sum all time periods of "&amp;A80&amp;"; Confidence Level is based on the parameters selected in "&amp;A20&amp;" and "&amp;A21&amp;"."</f>
        <v>(4k) Risk Adjustment = sum all time periods of (4j); Confidence Level is based on the parameters selected in (2a) and (2b).</v>
      </c>
      <c r="C94" s="9"/>
      <c r="D94" s="7"/>
      <c r="P94" t="str">
        <f>P83&amp;" Risk Adjustment = sum all time periods of "&amp;P80&amp;"; Confidence Level is based on the parameters selected in "&amp;P20&amp;" and "&amp;P21&amp;"."</f>
        <v>(4k) Risk Adjustment = sum all time periods of (4j); Confidence Level is based on the parameters selected in (2a) and (2b).</v>
      </c>
      <c r="R94" s="9"/>
      <c r="S94" s="7"/>
    </row>
    <row r="95" spans="1:23" x14ac:dyDescent="0.35">
      <c r="A95" t="str">
        <f>A84&amp;" Implied CoC Rate from RA in "&amp;A53&amp;" = Implied RA in "&amp;A53&amp;"/ Discounted BoY capital."</f>
        <v>(4l) Implied CoC Rate from RA in (3b) = Implied RA in (3b)/ Discounted BoY capital.</v>
      </c>
      <c r="C95" s="9"/>
      <c r="D95" s="7"/>
      <c r="P95" t="str">
        <f>P84&amp;" Implied CoC Rate from RA in "&amp;P53&amp;" = Implied RA in "&amp;P53&amp;"/ Discounted BoY capital."</f>
        <v>(4l) Implied CoC Rate from RA in (3b) = Implied RA in (3b)/ Discounted BoY capital.</v>
      </c>
      <c r="R95" s="9"/>
      <c r="S95" s="7"/>
    </row>
    <row r="96" spans="1:23" x14ac:dyDescent="0.35">
      <c r="C96" s="9"/>
      <c r="D96" s="7"/>
      <c r="R96" s="9"/>
      <c r="S96" s="7"/>
    </row>
    <row r="98" spans="1:20" x14ac:dyDescent="0.35">
      <c r="A98" s="1" t="s">
        <v>12</v>
      </c>
      <c r="P98" s="1" t="s">
        <v>12</v>
      </c>
    </row>
    <row r="99" spans="1:20" ht="29" x14ac:dyDescent="0.35">
      <c r="C99" s="14" t="s">
        <v>14</v>
      </c>
      <c r="D99" s="12" t="s">
        <v>11</v>
      </c>
      <c r="E99" s="14" t="s">
        <v>35</v>
      </c>
      <c r="R99" s="14" t="s">
        <v>14</v>
      </c>
      <c r="S99" s="12" t="s">
        <v>11</v>
      </c>
      <c r="T99" s="14" t="s">
        <v>35</v>
      </c>
    </row>
    <row r="100" spans="1:20" x14ac:dyDescent="0.35">
      <c r="A100" s="10" t="s">
        <v>75</v>
      </c>
      <c r="B100" t="s">
        <v>19</v>
      </c>
      <c r="C100" s="23">
        <f>D100/Implied_Mean_Gross</f>
        <v>0.11250005786252978</v>
      </c>
      <c r="D100" s="19">
        <f>Short_Tail!D81+Long_Tail!D81</f>
        <v>6750.0000000000018</v>
      </c>
      <c r="E100" s="44">
        <f ca="1">(OFFSET(INDEX(Distr_Table_Gross,MATCH(D100,RA_Distr_Gross,1),1),1,0)-INDEX(Distr_Table_Gross,MATCH(D100,RA_Distr_Gross,1),1))/(OFFSET(INDEX(Distr_Table_Gross,MATCH(D100,RA_Distr_Gross,1),13),1,0)-INDEX(Distr_Table_Gross,MATCH(D100,RA_Distr_Gross,1),13))*(D100-INDEX(Distr_Table_Gross,MATCH(D100,RA_Distr_Gross,1),13))+INDEX(Distr_Table_Gross,MATCH(D100,RA_Distr_Gross,1),1)</f>
        <v>0.75038905577542148</v>
      </c>
      <c r="P100" s="10" t="s">
        <v>75</v>
      </c>
      <c r="Q100" t="s">
        <v>19</v>
      </c>
      <c r="R100" s="23">
        <f>S100/Implied_Mean_Net</f>
        <v>9.1666685954865115E-2</v>
      </c>
      <c r="S100" s="19">
        <f>Short_Tail!S81+Long_Tail!S81</f>
        <v>4399.9999999999973</v>
      </c>
      <c r="T100" s="44">
        <f ca="1">(OFFSET(INDEX(Distr_Table_Net,MATCH(S100,RA_Distr_Net,1),1),1,0)-INDEX(Distr_Table_Net,MATCH(S100,RA_Distr_Net,1),1))/(OFFSET(INDEX(Distr_Table_Net,MATCH(S100,RA_Distr_Net,1),13),1,0)-INDEX(Distr_Table_Net,MATCH(S100,RA_Distr_Net,1),13))*(S100-INDEX(Distr_Table_Net,MATCH(S100,RA_Distr_Net,1),13))+INDEX(Distr_Table_Net,MATCH(S100,RA_Distr_Net,1),1)</f>
        <v>0.7769880180682438</v>
      </c>
    </row>
    <row r="101" spans="1:20" x14ac:dyDescent="0.35">
      <c r="A101" s="24" t="s">
        <v>76</v>
      </c>
      <c r="B101" s="25" t="s">
        <v>34</v>
      </c>
      <c r="C101" s="32">
        <f>D101/Implied_Mean_Gross</f>
        <v>0.11222862488958944</v>
      </c>
      <c r="D101" s="41">
        <f>$N$54</f>
        <v>6733.7140300000028</v>
      </c>
      <c r="E101" s="43">
        <f>Selected_VaR</f>
        <v>0.75</v>
      </c>
      <c r="P101" s="24" t="s">
        <v>76</v>
      </c>
      <c r="Q101" s="25" t="s">
        <v>34</v>
      </c>
      <c r="R101" s="32">
        <f>S101/Implied_Mean_Net</f>
        <v>7.930316731170807E-2</v>
      </c>
      <c r="S101" s="41">
        <f>$AC$54</f>
        <v>3806.5512299999973</v>
      </c>
      <c r="T101" s="43">
        <f>Selected_VaR</f>
        <v>0.75</v>
      </c>
    </row>
    <row r="103" spans="1:20" x14ac:dyDescent="0.35">
      <c r="A103" t="s">
        <v>77</v>
      </c>
      <c r="P103" t="s">
        <v>77</v>
      </c>
    </row>
    <row r="104" spans="1:20" x14ac:dyDescent="0.35">
      <c r="A104" t="str">
        <f>A100&amp;" Risk Adjustment = Margin Factor x Implied Mean "&amp;A9&amp;"; Confidence Level is based on the parameters selected in "&amp;A20&amp;" and "&amp;A21&amp;"."</f>
        <v>(5a) Risk Adjustment = Margin Factor x Implied Mean (1a); Confidence Level is based on the parameters selected in (2a) and (2b).</v>
      </c>
      <c r="P104" t="str">
        <f>P100&amp;" Risk Adjustment = Margin Factor x Implied Mean "&amp;P9&amp;"; Confidence Level is based on the parameters selected in "&amp;P20&amp;" and "&amp;P21&amp;"."</f>
        <v>(5a) Risk Adjustment = Margin Factor x Implied Mean (1a); Confidence Level is based on the parameters selected in (2a) and (2b).</v>
      </c>
    </row>
    <row r="105" spans="1:20" x14ac:dyDescent="0.35">
      <c r="A105" t="str">
        <f>A101&amp;" Implied Margin factor from RA in "&amp;A53&amp;" = Implied RA in "&amp;A53&amp;"/ Implied Mean "&amp;A9&amp;"."</f>
        <v>(5b) Implied Margin factor from RA in (3b) = Implied RA in (3b)/ Implied Mean (1a).</v>
      </c>
      <c r="P105" t="str">
        <f>P101&amp;" Implied Margin factor from RA in "&amp;P53&amp;" = Implied RA in "&amp;P53&amp;"/ Implied Mean "&amp;P9&amp;"."</f>
        <v>(5b) Implied Margin factor from RA in (3b) = Implied RA in (3b)/ Implied Mean (1a).</v>
      </c>
    </row>
    <row r="106" spans="1:20" x14ac:dyDescent="0.35">
      <c r="A106" s="10"/>
      <c r="P106" s="10"/>
    </row>
  </sheetData>
  <printOptions horizontalCentered="1"/>
  <pageMargins left="0.7" right="0.7" top="0.75" bottom="0.75" header="0.3" footer="0.3"/>
  <pageSetup scale="58" orientation="landscape" blackAndWhite="1" r:id="rId1"/>
  <headerFooter>
    <oddFooter>&amp;C&amp;A&amp;R&amp;D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51</vt:i4>
      </vt:variant>
    </vt:vector>
  </HeadingPairs>
  <TitlesOfParts>
    <vt:vector size="56" baseType="lpstr">
      <vt:lpstr>Info</vt:lpstr>
      <vt:lpstr>Scenarios</vt:lpstr>
      <vt:lpstr>Long_Tail</vt:lpstr>
      <vt:lpstr>Short_Tail</vt:lpstr>
      <vt:lpstr>Total_MonteCarlo</vt:lpstr>
      <vt:lpstr>Capital_T0</vt:lpstr>
      <vt:lpstr>Short_Tail!Capital_T0_Gross</vt:lpstr>
      <vt:lpstr>Total_MonteCarlo!Capital_T0_Gross</vt:lpstr>
      <vt:lpstr>Capital_T0_Gross</vt:lpstr>
      <vt:lpstr>Short_Tail!Capital_T0_Net</vt:lpstr>
      <vt:lpstr>Total_MonteCarlo!Capital_T0_Net</vt:lpstr>
      <vt:lpstr>Capital_T0_Net</vt:lpstr>
      <vt:lpstr>CoC_Rate</vt:lpstr>
      <vt:lpstr>Short_Tail!Confidence_tbl_Gross</vt:lpstr>
      <vt:lpstr>Confidence_tbl_Gross</vt:lpstr>
      <vt:lpstr>Short_Tail!Confidence_tbl_Net</vt:lpstr>
      <vt:lpstr>Confidence_tbl_Net</vt:lpstr>
      <vt:lpstr>Discount_Factor</vt:lpstr>
      <vt:lpstr>Total_MonteCarlo!Distr_Table_Gross</vt:lpstr>
      <vt:lpstr>Distr_Table_Net</vt:lpstr>
      <vt:lpstr>Short_Tail!Implied_Mean_Gross</vt:lpstr>
      <vt:lpstr>Total_MonteCarlo!Implied_Mean_Gross</vt:lpstr>
      <vt:lpstr>Implied_Mean_Gross</vt:lpstr>
      <vt:lpstr>Short_Tail!Implied_Mean_Net</vt:lpstr>
      <vt:lpstr>Total_MonteCarlo!Implied_Mean_Net</vt:lpstr>
      <vt:lpstr>Implied_Mean_Net</vt:lpstr>
      <vt:lpstr>info_ceded</vt:lpstr>
      <vt:lpstr>Info_DollarUnit</vt:lpstr>
      <vt:lpstr>info_Gross</vt:lpstr>
      <vt:lpstr>info_Net</vt:lpstr>
      <vt:lpstr>Info_Project</vt:lpstr>
      <vt:lpstr>Info_Title</vt:lpstr>
      <vt:lpstr>Short_Tail!Lognormal_Mu_Gross</vt:lpstr>
      <vt:lpstr>Lognormal_Mu_Gross</vt:lpstr>
      <vt:lpstr>Short_Tail!Lognormal_Mu_Net</vt:lpstr>
      <vt:lpstr>Lognormal_Mu_Net</vt:lpstr>
      <vt:lpstr>Short_Tail!Lognormal_Sigma_Gross</vt:lpstr>
      <vt:lpstr>Lognormal_Sigma_Gross</vt:lpstr>
      <vt:lpstr>Short_Tail!Lognormal_Sigma_Net</vt:lpstr>
      <vt:lpstr>Lognormal_Sigma_Net</vt:lpstr>
      <vt:lpstr>NewMatrix1</vt:lpstr>
      <vt:lpstr>NewMatrix2</vt:lpstr>
      <vt:lpstr>NewMatrix3</vt:lpstr>
      <vt:lpstr>Long_Tail!Print_Area</vt:lpstr>
      <vt:lpstr>Scenarios!Print_Area</vt:lpstr>
      <vt:lpstr>Short_Tail!Print_Area</vt:lpstr>
      <vt:lpstr>Total_MonteCarlo!Print_Area</vt:lpstr>
      <vt:lpstr>RA_Distr_Gross</vt:lpstr>
      <vt:lpstr>RA_Distr_Net</vt:lpstr>
      <vt:lpstr>Short_Tail!Remaining_FCF_Gross</vt:lpstr>
      <vt:lpstr>Remaining_FCF_Gross</vt:lpstr>
      <vt:lpstr>Short_Tail!Remaining_FCF_Net</vt:lpstr>
      <vt:lpstr>Remaining_FCF_Net</vt:lpstr>
      <vt:lpstr>Rf_Rate</vt:lpstr>
      <vt:lpstr>Selected_Risk_Appetite_Percentile</vt:lpstr>
      <vt:lpstr>Selected_VaR</vt:lpstr>
    </vt:vector>
  </TitlesOfParts>
  <Company>KPMG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Le, Anh Tu</dc:creator>
  <cp:lastModifiedBy>Josee Racette</cp:lastModifiedBy>
  <cp:lastPrinted>2021-05-04T07:13:09Z</cp:lastPrinted>
  <dcterms:created xsi:type="dcterms:W3CDTF">2019-05-16T13:49:52Z</dcterms:created>
  <dcterms:modified xsi:type="dcterms:W3CDTF">2021-09-07T14:10:59Z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044ce57-b9ea-43f7-a52f-d674d6558d66_Enabled">
    <vt:lpwstr>true</vt:lpwstr>
  </property>
  <property fmtid="{D5CDD505-2E9C-101B-9397-08002B2CF9AE}" pid="3" name="MSIP_Label_8044ce57-b9ea-43f7-a52f-d674d6558d66_SetDate">
    <vt:lpwstr>2021-09-07T13:04:01Z</vt:lpwstr>
  </property>
  <property fmtid="{D5CDD505-2E9C-101B-9397-08002B2CF9AE}" pid="4" name="MSIP_Label_8044ce57-b9ea-43f7-a52f-d674d6558d66_Method">
    <vt:lpwstr>Privileged</vt:lpwstr>
  </property>
  <property fmtid="{D5CDD505-2E9C-101B-9397-08002B2CF9AE}" pid="5" name="MSIP_Label_8044ce57-b9ea-43f7-a52f-d674d6558d66_Name">
    <vt:lpwstr>Public - No Footer</vt:lpwstr>
  </property>
  <property fmtid="{D5CDD505-2E9C-101B-9397-08002B2CF9AE}" pid="6" name="MSIP_Label_8044ce57-b9ea-43f7-a52f-d674d6558d66_SiteId">
    <vt:lpwstr>42d0d02d-6286-465e-999b-31006231efb1</vt:lpwstr>
  </property>
  <property fmtid="{D5CDD505-2E9C-101B-9397-08002B2CF9AE}" pid="7" name="MSIP_Label_8044ce57-b9ea-43f7-a52f-d674d6558d66_ActionId">
    <vt:lpwstr>ff08b25a-1cc1-4e68-8447-c46208330d6d</vt:lpwstr>
  </property>
  <property fmtid="{D5CDD505-2E9C-101B-9397-08002B2CF9AE}" pid="8" name="MSIP_Label_8044ce57-b9ea-43f7-a52f-d674d6558d66_ContentBits">
    <vt:lpwstr>0</vt:lpwstr>
  </property>
  <property fmtid="{D5CDD505-2E9C-101B-9397-08002B2CF9AE}" pid="9" name="AvivaClassification">
    <vt:lpwstr>Aviva-Pub1ic</vt:lpwstr>
  </property>
  <property fmtid="{D5CDD505-2E9C-101B-9397-08002B2CF9AE}" pid="10" name="x-avivaclassification">
    <vt:lpwstr>Aviva-Pub1ic</vt:lpwstr>
  </property>
</Properties>
</file>