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Z:\#01 - CIA\Professional Practice\PC\Ed Notes\1-Completed projects\Fair Value\Oct 2021\For publication\"/>
    </mc:Choice>
  </mc:AlternateContent>
  <xr:revisionPtr revIDLastSave="0" documentId="13_ncr:1_{E5945050-5284-4CA6-B13A-5E4661220E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puts" sheetId="11" r:id="rId1"/>
    <sheet name="Exampl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9" i="10" l="1"/>
  <c r="AC68" i="10"/>
  <c r="D56" i="10"/>
  <c r="M35" i="10"/>
  <c r="E35" i="10"/>
  <c r="N29" i="10"/>
  <c r="M29" i="10"/>
  <c r="L29" i="10"/>
  <c r="K29" i="10"/>
  <c r="J29" i="10"/>
  <c r="I29" i="10"/>
  <c r="H29" i="10"/>
  <c r="G29" i="10"/>
  <c r="F29" i="10"/>
  <c r="E29" i="10"/>
  <c r="N28" i="10"/>
  <c r="M28" i="10"/>
  <c r="L28" i="10"/>
  <c r="K28" i="10"/>
  <c r="J28" i="10"/>
  <c r="I28" i="10"/>
  <c r="H28" i="10"/>
  <c r="G28" i="10"/>
  <c r="F28" i="10"/>
  <c r="E28" i="10"/>
  <c r="N26" i="10"/>
  <c r="M26" i="10"/>
  <c r="L26" i="10"/>
  <c r="K26" i="10"/>
  <c r="J26" i="10"/>
  <c r="I26" i="10"/>
  <c r="H26" i="10"/>
  <c r="G26" i="10"/>
  <c r="F26" i="10"/>
  <c r="E26" i="10"/>
  <c r="N24" i="10"/>
  <c r="M24" i="10"/>
  <c r="L24" i="10"/>
  <c r="K24" i="10"/>
  <c r="J24" i="10"/>
  <c r="I24" i="10"/>
  <c r="H24" i="10"/>
  <c r="G24" i="10"/>
  <c r="F24" i="10"/>
  <c r="E24" i="10"/>
  <c r="N19" i="10"/>
  <c r="N35" i="10" s="1"/>
  <c r="M19" i="10"/>
  <c r="L19" i="10"/>
  <c r="L35" i="10" s="1"/>
  <c r="K19" i="10"/>
  <c r="K35" i="10" s="1"/>
  <c r="J19" i="10"/>
  <c r="J35" i="10" s="1"/>
  <c r="I19" i="10"/>
  <c r="I35" i="10" s="1"/>
  <c r="H19" i="10"/>
  <c r="H35" i="10" s="1"/>
  <c r="G19" i="10"/>
  <c r="G35" i="10" s="1"/>
  <c r="F19" i="10"/>
  <c r="F35" i="10" s="1"/>
  <c r="E19" i="10"/>
  <c r="N12" i="10"/>
  <c r="M12" i="10"/>
  <c r="L12" i="10"/>
  <c r="K12" i="10"/>
  <c r="J12" i="10"/>
  <c r="I12" i="10"/>
  <c r="H12" i="10"/>
  <c r="G12" i="10"/>
  <c r="F12" i="10"/>
  <c r="E12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5" i="10"/>
  <c r="M5" i="10"/>
  <c r="L5" i="10"/>
  <c r="K5" i="10"/>
  <c r="J5" i="10"/>
  <c r="I5" i="10"/>
  <c r="H5" i="10"/>
  <c r="G5" i="10"/>
  <c r="F5" i="10"/>
  <c r="E5" i="10"/>
  <c r="N4" i="10"/>
  <c r="M4" i="10"/>
  <c r="L4" i="10"/>
  <c r="K4" i="10"/>
  <c r="J4" i="10"/>
  <c r="I4" i="10"/>
  <c r="H4" i="10"/>
  <c r="G4" i="10"/>
  <c r="F4" i="10"/>
  <c r="E4" i="10"/>
  <c r="D41" i="11"/>
  <c r="G40" i="11"/>
  <c r="F40" i="11"/>
  <c r="D40" i="11"/>
  <c r="I39" i="11"/>
  <c r="H39" i="11"/>
  <c r="G39" i="11"/>
  <c r="L38" i="11"/>
  <c r="K38" i="11"/>
  <c r="J38" i="11"/>
  <c r="D38" i="11"/>
  <c r="N37" i="11"/>
  <c r="N39" i="11" s="1"/>
  <c r="M37" i="11"/>
  <c r="M39" i="11" s="1"/>
  <c r="L37" i="11"/>
  <c r="L39" i="11" s="1"/>
  <c r="K37" i="11"/>
  <c r="J37" i="11"/>
  <c r="I37" i="11"/>
  <c r="H37" i="11"/>
  <c r="H38" i="11" s="1"/>
  <c r="G37" i="11"/>
  <c r="G38" i="11" s="1"/>
  <c r="F37" i="11"/>
  <c r="F39" i="11" s="1"/>
  <c r="E37" i="11"/>
  <c r="E39" i="11" s="1"/>
  <c r="D37" i="11"/>
  <c r="D39" i="11" s="1"/>
  <c r="N35" i="11"/>
  <c r="N32" i="11"/>
  <c r="M32" i="11"/>
  <c r="L32" i="11"/>
  <c r="K32" i="11"/>
  <c r="K39" i="11" s="1"/>
  <c r="J32" i="11"/>
  <c r="J40" i="11" s="1"/>
  <c r="I32" i="11"/>
  <c r="H32" i="11"/>
  <c r="G32" i="11"/>
  <c r="F32" i="11"/>
  <c r="E32" i="11"/>
  <c r="E40" i="11" s="1"/>
  <c r="D32" i="11"/>
  <c r="N27" i="11"/>
  <c r="M27" i="11"/>
  <c r="L27" i="11"/>
  <c r="K27" i="11"/>
  <c r="J27" i="11"/>
  <c r="I27" i="11"/>
  <c r="I38" i="11" s="1"/>
  <c r="H27" i="11"/>
  <c r="G27" i="11"/>
  <c r="F27" i="11"/>
  <c r="E27" i="11"/>
  <c r="D27" i="11"/>
  <c r="H26" i="11"/>
  <c r="I26" i="11" s="1"/>
  <c r="J26" i="11" s="1"/>
  <c r="K26" i="11" s="1"/>
  <c r="L26" i="11" s="1"/>
  <c r="M26" i="11" s="1"/>
  <c r="N26" i="11" s="1"/>
  <c r="G26" i="11"/>
  <c r="F26" i="11"/>
  <c r="E26" i="11"/>
  <c r="E41" i="11" s="1"/>
  <c r="K25" i="11"/>
  <c r="K40" i="11" s="1"/>
  <c r="I25" i="11"/>
  <c r="I40" i="11" s="1"/>
  <c r="H25" i="11"/>
  <c r="H41" i="11" s="1"/>
  <c r="G25" i="11"/>
  <c r="G41" i="11" s="1"/>
  <c r="F25" i="11"/>
  <c r="F41" i="11" s="1"/>
  <c r="N24" i="11"/>
  <c r="N23" i="11"/>
  <c r="N22" i="11"/>
  <c r="N21" i="11"/>
  <c r="N36" i="11" s="1"/>
  <c r="N36" i="10" s="1"/>
  <c r="D12" i="10" l="1"/>
  <c r="D61" i="10" s="1"/>
  <c r="I41" i="11"/>
  <c r="J41" i="11"/>
  <c r="L25" i="11"/>
  <c r="K41" i="11"/>
  <c r="M38" i="11"/>
  <c r="F38" i="11"/>
  <c r="N38" i="11"/>
  <c r="H40" i="11"/>
  <c r="E38" i="11"/>
  <c r="J39" i="11"/>
  <c r="D28" i="10" s="1"/>
  <c r="F55" i="10" s="1"/>
  <c r="D26" i="10" l="1"/>
  <c r="D29" i="10"/>
  <c r="F56" i="10" s="1"/>
  <c r="H56" i="10" s="1"/>
  <c r="D24" i="10"/>
  <c r="F61" i="10" s="1"/>
  <c r="H61" i="10" s="1"/>
  <c r="M25" i="11"/>
  <c r="L41" i="11"/>
  <c r="L40" i="11"/>
  <c r="M41" i="11" l="1"/>
  <c r="N25" i="11"/>
  <c r="M40" i="11"/>
  <c r="H9" i="10" l="1"/>
  <c r="L34" i="11"/>
  <c r="G33" i="11"/>
  <c r="E9" i="10"/>
  <c r="N40" i="11"/>
  <c r="F34" i="11" s="1"/>
  <c r="N41" i="11"/>
  <c r="E34" i="11"/>
  <c r="L9" i="10"/>
  <c r="D9" i="10"/>
  <c r="J34" i="11"/>
  <c r="D34" i="11"/>
  <c r="D33" i="11" l="1"/>
  <c r="G22" i="11"/>
  <c r="H21" i="10" s="1"/>
  <c r="G24" i="11"/>
  <c r="G21" i="11"/>
  <c r="G23" i="11"/>
  <c r="H22" i="10" s="1"/>
  <c r="L33" i="11"/>
  <c r="I33" i="11"/>
  <c r="E11" i="10"/>
  <c r="F11" i="10"/>
  <c r="E33" i="11"/>
  <c r="M9" i="10"/>
  <c r="G9" i="10"/>
  <c r="J9" i="10"/>
  <c r="D55" i="10"/>
  <c r="H55" i="10" s="1"/>
  <c r="I9" i="10"/>
  <c r="F9" i="10"/>
  <c r="K9" i="10"/>
  <c r="M34" i="11"/>
  <c r="M33" i="11"/>
  <c r="I34" i="11"/>
  <c r="J33" i="11"/>
  <c r="H34" i="11"/>
  <c r="H33" i="11"/>
  <c r="K34" i="11"/>
  <c r="K11" i="10" s="1"/>
  <c r="G34" i="11"/>
  <c r="F33" i="11"/>
  <c r="K33" i="11"/>
  <c r="G36" i="11" l="1"/>
  <c r="H11" i="10"/>
  <c r="L23" i="11"/>
  <c r="M22" i="10" s="1"/>
  <c r="M27" i="10"/>
  <c r="L22" i="11"/>
  <c r="M21" i="10" s="1"/>
  <c r="M6" i="10"/>
  <c r="L24" i="11"/>
  <c r="L35" i="11"/>
  <c r="L21" i="11"/>
  <c r="D23" i="11"/>
  <c r="E22" i="10" s="1"/>
  <c r="E6" i="10"/>
  <c r="D24" i="11"/>
  <c r="D35" i="11"/>
  <c r="D21" i="11"/>
  <c r="D22" i="11"/>
  <c r="E21" i="10" s="1"/>
  <c r="D21" i="10" s="1"/>
  <c r="F58" i="10" s="1"/>
  <c r="E27" i="10"/>
  <c r="G35" i="11"/>
  <c r="H27" i="10"/>
  <c r="H20" i="10"/>
  <c r="H23" i="10"/>
  <c r="H22" i="11"/>
  <c r="I21" i="10" s="1"/>
  <c r="I6" i="10"/>
  <c r="H24" i="11"/>
  <c r="H35" i="11"/>
  <c r="H21" i="11"/>
  <c r="H23" i="11"/>
  <c r="I22" i="10" s="1"/>
  <c r="I27" i="10"/>
  <c r="I36" i="11"/>
  <c r="J11" i="10"/>
  <c r="D11" i="10" s="1"/>
  <c r="J6" i="10"/>
  <c r="I24" i="11"/>
  <c r="I22" i="11"/>
  <c r="J21" i="10" s="1"/>
  <c r="I35" i="11"/>
  <c r="I21" i="11"/>
  <c r="I23" i="11"/>
  <c r="J22" i="10" s="1"/>
  <c r="J27" i="10"/>
  <c r="E35" i="11"/>
  <c r="E21" i="11"/>
  <c r="E23" i="11"/>
  <c r="F22" i="10" s="1"/>
  <c r="F27" i="10"/>
  <c r="E22" i="11"/>
  <c r="F21" i="10" s="1"/>
  <c r="E24" i="11"/>
  <c r="F6" i="10"/>
  <c r="H36" i="11"/>
  <c r="I11" i="10"/>
  <c r="K24" i="11"/>
  <c r="K35" i="11"/>
  <c r="K21" i="11"/>
  <c r="K23" i="11"/>
  <c r="L22" i="10" s="1"/>
  <c r="K22" i="11"/>
  <c r="L21" i="10" s="1"/>
  <c r="L27" i="10"/>
  <c r="L6" i="10"/>
  <c r="M23" i="11"/>
  <c r="N22" i="10" s="1"/>
  <c r="N27" i="10"/>
  <c r="M22" i="11"/>
  <c r="N21" i="10" s="1"/>
  <c r="M24" i="11"/>
  <c r="N6" i="10"/>
  <c r="M35" i="11"/>
  <c r="M21" i="11"/>
  <c r="H6" i="10"/>
  <c r="G11" i="10"/>
  <c r="L11" i="10"/>
  <c r="J35" i="11"/>
  <c r="J21" i="11"/>
  <c r="J22" i="11"/>
  <c r="K21" i="10" s="1"/>
  <c r="J24" i="11"/>
  <c r="J23" i="11"/>
  <c r="K22" i="10" s="1"/>
  <c r="K27" i="10"/>
  <c r="K6" i="10"/>
  <c r="F23" i="11"/>
  <c r="G22" i="10" s="1"/>
  <c r="G27" i="10"/>
  <c r="F22" i="11"/>
  <c r="G21" i="10" s="1"/>
  <c r="F24" i="11"/>
  <c r="F21" i="11"/>
  <c r="G6" i="10"/>
  <c r="F35" i="11"/>
  <c r="N11" i="10"/>
  <c r="M11" i="10"/>
  <c r="K20" i="10" l="1"/>
  <c r="K25" i="10" s="1"/>
  <c r="K23" i="10"/>
  <c r="J36" i="11"/>
  <c r="E40" i="10"/>
  <c r="E39" i="10"/>
  <c r="G30" i="10"/>
  <c r="G38" i="10"/>
  <c r="K40" i="10"/>
  <c r="K39" i="10"/>
  <c r="J40" i="10"/>
  <c r="J39" i="10"/>
  <c r="J38" i="10"/>
  <c r="J30" i="10"/>
  <c r="J10" i="10"/>
  <c r="J13" i="10" s="1"/>
  <c r="J14" i="10" s="1"/>
  <c r="J15" i="10" s="1"/>
  <c r="N40" i="10"/>
  <c r="N39" i="10"/>
  <c r="I38" i="10"/>
  <c r="I30" i="10"/>
  <c r="D54" i="10"/>
  <c r="L40" i="10"/>
  <c r="L39" i="10"/>
  <c r="D22" i="10"/>
  <c r="F59" i="10" s="1"/>
  <c r="M40" i="10"/>
  <c r="M39" i="10"/>
  <c r="L38" i="10"/>
  <c r="L30" i="10"/>
  <c r="E20" i="10"/>
  <c r="E23" i="10"/>
  <c r="D36" i="11"/>
  <c r="J20" i="10"/>
  <c r="J23" i="10"/>
  <c r="K36" i="11"/>
  <c r="L20" i="10"/>
  <c r="L25" i="10" s="1"/>
  <c r="L23" i="10"/>
  <c r="F38" i="10"/>
  <c r="F30" i="10"/>
  <c r="H38" i="10"/>
  <c r="H30" i="10"/>
  <c r="I39" i="10"/>
  <c r="I40" i="10"/>
  <c r="H39" i="10"/>
  <c r="H40" i="10"/>
  <c r="G40" i="10"/>
  <c r="G39" i="10"/>
  <c r="K38" i="10"/>
  <c r="K30" i="10"/>
  <c r="N38" i="10"/>
  <c r="N30" i="10"/>
  <c r="F20" i="10"/>
  <c r="F25" i="10" s="1"/>
  <c r="F23" i="10"/>
  <c r="E36" i="11"/>
  <c r="G20" i="10"/>
  <c r="G25" i="10" s="1"/>
  <c r="G23" i="10"/>
  <c r="F36" i="11"/>
  <c r="I10" i="10"/>
  <c r="I13" i="10" s="1"/>
  <c r="I14" i="10" s="1"/>
  <c r="I15" i="10" s="1"/>
  <c r="H10" i="10"/>
  <c r="H13" i="10" s="1"/>
  <c r="H14" i="10" s="1"/>
  <c r="H15" i="10" s="1"/>
  <c r="N20" i="10"/>
  <c r="N25" i="10" s="1"/>
  <c r="N23" i="10"/>
  <c r="H25" i="10"/>
  <c r="M36" i="11"/>
  <c r="I20" i="10"/>
  <c r="I25" i="10" s="1"/>
  <c r="I23" i="10"/>
  <c r="M38" i="10"/>
  <c r="M30" i="10"/>
  <c r="F40" i="10"/>
  <c r="F39" i="10"/>
  <c r="D27" i="10"/>
  <c r="E38" i="10"/>
  <c r="E30" i="10"/>
  <c r="M20" i="10"/>
  <c r="M25" i="10" s="1"/>
  <c r="L31" i="10" s="1"/>
  <c r="M23" i="10"/>
  <c r="L36" i="11"/>
  <c r="N10" i="10" l="1"/>
  <c r="N13" i="10" s="1"/>
  <c r="N14" i="10" s="1"/>
  <c r="N15" i="10" s="1"/>
  <c r="G10" i="10"/>
  <c r="G13" i="10" s="1"/>
  <c r="G14" i="10" s="1"/>
  <c r="G15" i="10" s="1"/>
  <c r="J25" i="10"/>
  <c r="I31" i="10" s="1"/>
  <c r="F54" i="10"/>
  <c r="H54" i="10" s="1"/>
  <c r="D30" i="10"/>
  <c r="G31" i="10"/>
  <c r="E10" i="10"/>
  <c r="M42" i="10"/>
  <c r="F31" i="10"/>
  <c r="G42" i="10" s="1"/>
  <c r="D23" i="10"/>
  <c r="F60" i="10" s="1"/>
  <c r="H31" i="10"/>
  <c r="M31" i="10"/>
  <c r="N42" i="10" s="1"/>
  <c r="F10" i="10"/>
  <c r="F13" i="10" s="1"/>
  <c r="F14" i="10" s="1"/>
  <c r="F15" i="10" s="1"/>
  <c r="E25" i="10"/>
  <c r="D20" i="10"/>
  <c r="L36" i="10"/>
  <c r="M10" i="10"/>
  <c r="M13" i="10" s="1"/>
  <c r="M14" i="10" s="1"/>
  <c r="M15" i="10" s="1"/>
  <c r="J36" i="10"/>
  <c r="K10" i="10"/>
  <c r="K13" i="10" s="1"/>
  <c r="K14" i="10" s="1"/>
  <c r="K15" i="10" s="1"/>
  <c r="E31" i="10"/>
  <c r="F42" i="10" s="1"/>
  <c r="K31" i="10"/>
  <c r="L42" i="10" s="1"/>
  <c r="L10" i="10"/>
  <c r="L13" i="10" s="1"/>
  <c r="L14" i="10" s="1"/>
  <c r="L15" i="10" s="1"/>
  <c r="K36" i="10"/>
  <c r="J31" i="10"/>
  <c r="K42" i="10" s="1"/>
  <c r="D10" i="10" l="1"/>
  <c r="E13" i="10"/>
  <c r="E36" i="10"/>
  <c r="L41" i="10"/>
  <c r="L47" i="10" s="1"/>
  <c r="L37" i="10"/>
  <c r="L43" i="10" s="1"/>
  <c r="L48" i="10"/>
  <c r="K41" i="10"/>
  <c r="K47" i="10" s="1"/>
  <c r="K37" i="10"/>
  <c r="K43" i="10" s="1"/>
  <c r="K48" i="10"/>
  <c r="J42" i="10"/>
  <c r="I36" i="10"/>
  <c r="M41" i="10"/>
  <c r="M47" i="10" s="1"/>
  <c r="M48" i="10"/>
  <c r="F36" i="10"/>
  <c r="I42" i="10"/>
  <c r="H36" i="10"/>
  <c r="H42" i="10"/>
  <c r="G36" i="10"/>
  <c r="D25" i="10"/>
  <c r="D31" i="10" s="1"/>
  <c r="F57" i="10"/>
  <c r="M36" i="10"/>
  <c r="N48" i="10" l="1"/>
  <c r="N41" i="10"/>
  <c r="N47" i="10" s="1"/>
  <c r="N37" i="10"/>
  <c r="N43" i="10" s="1"/>
  <c r="M37" i="10"/>
  <c r="M43" i="10" s="1"/>
  <c r="G41" i="10"/>
  <c r="G47" i="10" s="1"/>
  <c r="G37" i="10"/>
  <c r="G43" i="10" s="1"/>
  <c r="G48" i="10"/>
  <c r="J41" i="10"/>
  <c r="J47" i="10" s="1"/>
  <c r="J37" i="10"/>
  <c r="J48" i="10"/>
  <c r="F48" i="10"/>
  <c r="F41" i="10"/>
  <c r="F47" i="10" s="1"/>
  <c r="F37" i="10"/>
  <c r="F62" i="10"/>
  <c r="G63" i="10" s="1"/>
  <c r="E42" i="10"/>
  <c r="D45" i="10" s="1"/>
  <c r="F45" i="10" s="1"/>
  <c r="D36" i="10"/>
  <c r="H41" i="10"/>
  <c r="H47" i="10" s="1"/>
  <c r="H37" i="10"/>
  <c r="H43" i="10" s="1"/>
  <c r="H48" i="10"/>
  <c r="D13" i="10"/>
  <c r="D14" i="10" s="1"/>
  <c r="D15" i="10" s="1"/>
  <c r="D62" i="10" s="1"/>
  <c r="E14" i="10"/>
  <c r="E15" i="10" s="1"/>
  <c r="I41" i="10"/>
  <c r="I47" i="10" s="1"/>
  <c r="I37" i="10"/>
  <c r="I43" i="10" s="1"/>
  <c r="I48" i="10"/>
  <c r="D58" i="10"/>
  <c r="H58" i="10" s="1"/>
  <c r="D60" i="10"/>
  <c r="H60" i="10" s="1"/>
  <c r="D57" i="10"/>
  <c r="H57" i="10" s="1"/>
  <c r="D59" i="10"/>
  <c r="H59" i="10" s="1"/>
  <c r="E41" i="10" l="1"/>
  <c r="E47" i="10" s="1"/>
  <c r="D47" i="10" s="1"/>
  <c r="D49" i="10" s="1"/>
  <c r="E37" i="10"/>
  <c r="E43" i="10" s="1"/>
  <c r="E48" i="10"/>
  <c r="D48" i="10" s="1"/>
  <c r="D37" i="10"/>
  <c r="D43" i="10" s="1"/>
  <c r="D44" i="10" s="1"/>
  <c r="F44" i="10" s="1"/>
  <c r="F43" i="10"/>
  <c r="E63" i="10"/>
  <c r="H62" i="10"/>
  <c r="J43" i="10"/>
</calcChain>
</file>

<file path=xl/sharedStrings.xml><?xml version="1.0" encoding="utf-8"?>
<sst xmlns="http://schemas.openxmlformats.org/spreadsheetml/2006/main" count="128" uniqueCount="101">
  <si>
    <t>NDA Expenses</t>
  </si>
  <si>
    <t>Cost of Capital Rate</t>
  </si>
  <si>
    <t>Inputs</t>
  </si>
  <si>
    <t>Adjusted FCF Approach</t>
  </si>
  <si>
    <t>Fair Value Transition Approaches</t>
  </si>
  <si>
    <t>Discount Rate</t>
  </si>
  <si>
    <t>Hurdle Rate</t>
  </si>
  <si>
    <t>CSM</t>
  </si>
  <si>
    <t>Earn rate on Capital</t>
  </si>
  <si>
    <t>Future Cash Flows</t>
  </si>
  <si>
    <t>Year</t>
  </si>
  <si>
    <t>Risk Adjustment Release</t>
  </si>
  <si>
    <t>Non-Directly Attribtuable Expenses</t>
  </si>
  <si>
    <t>Target Available Capital</t>
  </si>
  <si>
    <t>Insurance Risk Base Solvency Buffer</t>
  </si>
  <si>
    <t>Operational Risk Base Solvency Buffer</t>
  </si>
  <si>
    <t>Interest Rate Risk Base Solvency Buffer</t>
  </si>
  <si>
    <t>Target Capital Ratio</t>
  </si>
  <si>
    <t>Calculated Values</t>
  </si>
  <si>
    <t>Own Entity Credit Risk</t>
  </si>
  <si>
    <t>Diversification Credit</t>
  </si>
  <si>
    <t>Other Inputs</t>
  </si>
  <si>
    <t>Discount Factor - Hurdle Rate</t>
  </si>
  <si>
    <t>Discount Factor - Discount Rate</t>
  </si>
  <si>
    <t>Discount Factor - Fair Value Rate</t>
  </si>
  <si>
    <t>Add: NDA Expenses</t>
  </si>
  <si>
    <t>Less: Own Entity Credit Risk</t>
  </si>
  <si>
    <t>Add: Other Required Profit</t>
  </si>
  <si>
    <t>Risk Adjustment</t>
  </si>
  <si>
    <t>PV</t>
  </si>
  <si>
    <t>Cash Flow by Year</t>
  </si>
  <si>
    <t>Fair Value</t>
  </si>
  <si>
    <t>Fullfillment Cash Flows</t>
  </si>
  <si>
    <r>
      <t xml:space="preserve">Other Solvency Buffers </t>
    </r>
    <r>
      <rPr>
        <sz val="9"/>
        <color theme="1"/>
        <rFont val="Calibri"/>
        <family val="2"/>
        <scheme val="minor"/>
      </rPr>
      <t>(Credit Risk, Equity Risk, …)</t>
    </r>
  </si>
  <si>
    <t>Add: Other Adjustments</t>
  </si>
  <si>
    <t>Cost of Operational Risk Capital</t>
  </si>
  <si>
    <t>Other Cash Flow Adjustments</t>
  </si>
  <si>
    <t>Additional Required Profit Margin</t>
  </si>
  <si>
    <t>Other Required Profit</t>
  </si>
  <si>
    <t>Less: NDA Expenses</t>
  </si>
  <si>
    <t xml:space="preserve">Add: Other Profit Sources </t>
  </si>
  <si>
    <t>Cost of Capital</t>
  </si>
  <si>
    <t>Adjusted FCF</t>
  </si>
  <si>
    <t>Operational Risk</t>
  </si>
  <si>
    <t>Cost of Interest Rate Risk Capital</t>
  </si>
  <si>
    <t>Interest/Reinvestment Risk</t>
  </si>
  <si>
    <t>Difference</t>
  </si>
  <si>
    <t>Own Credit Risk</t>
  </si>
  <si>
    <t>Comparison of Approaches</t>
  </si>
  <si>
    <t>Comment on Difference</t>
  </si>
  <si>
    <t>No Difference</t>
  </si>
  <si>
    <t>@ Discount rate in AFCF vs @ hurdle Rate in EV</t>
  </si>
  <si>
    <t>4.1.3</t>
  </si>
  <si>
    <t>ED Note Reference Section</t>
  </si>
  <si>
    <t>4.2.4, 4.2.5</t>
  </si>
  <si>
    <t>4.2.6</t>
  </si>
  <si>
    <t>4.4.1</t>
  </si>
  <si>
    <t>4.4.2</t>
  </si>
  <si>
    <t>Add: Own Entity Credit Risk</t>
  </si>
  <si>
    <t>Check</t>
  </si>
  <si>
    <t>Market Risk Base Solvency Buffer</t>
  </si>
  <si>
    <t>Capital requirements</t>
  </si>
  <si>
    <t>Less: Release of risk provision</t>
  </si>
  <si>
    <t>4.2.4 - 4.2.6</t>
  </si>
  <si>
    <t>Earned rate on capital</t>
  </si>
  <si>
    <t>Other solvency buffers have no impact on CSM</t>
  </si>
  <si>
    <r>
      <t>Add: Cost of Capital</t>
    </r>
    <r>
      <rPr>
        <sz val="8"/>
        <rFont val="Calibri"/>
        <family val="2"/>
        <scheme val="minor"/>
      </rPr>
      <t xml:space="preserve"> [Insurance, Interest, and Operational Risk]</t>
    </r>
  </si>
  <si>
    <r>
      <t xml:space="preserve">Cost of Insurance Risk Capital </t>
    </r>
    <r>
      <rPr>
        <sz val="8"/>
        <color theme="1"/>
        <rFont val="Calibri"/>
        <family val="2"/>
        <scheme val="minor"/>
      </rPr>
      <t>(net of Surplus Allowance)</t>
    </r>
  </si>
  <si>
    <t>Diversification Benefit</t>
  </si>
  <si>
    <r>
      <t xml:space="preserve">Insurance Risk </t>
    </r>
    <r>
      <rPr>
        <sz val="9"/>
        <color theme="1"/>
        <rFont val="Calibri"/>
        <family val="2"/>
        <scheme val="minor"/>
      </rPr>
      <t>[net of Surplus allowance and RA release]</t>
    </r>
  </si>
  <si>
    <t>Return on Capital</t>
  </si>
  <si>
    <t>Check Future Profit = Required Profit</t>
  </si>
  <si>
    <t>PV Required Return on Capital @ Hurdle Rate</t>
  </si>
  <si>
    <t>Total Cashflow</t>
  </si>
  <si>
    <t>Add: Investment Income on Assets Backing Fullfillment Cash Flows</t>
  </si>
  <si>
    <t>Add: Change in CSM</t>
  </si>
  <si>
    <t>Add: Investment Income on Assets Backing Surplus &amp; CSM</t>
  </si>
  <si>
    <r>
      <t>Add: Cash Outflows</t>
    </r>
    <r>
      <rPr>
        <sz val="9"/>
        <color theme="1"/>
        <rFont val="Calibri"/>
        <family val="2"/>
        <scheme val="minor"/>
      </rPr>
      <t xml:space="preserve"> [net of own defaults]</t>
    </r>
  </si>
  <si>
    <t>Can differ slightly due to discounting</t>
  </si>
  <si>
    <t>CSM Run-off pattern assumed to follow other CF pattern; release pattern of coverage units has no impact on amount</t>
  </si>
  <si>
    <t>Assumptions by Year</t>
  </si>
  <si>
    <t>Calculated Values by Year</t>
  </si>
  <si>
    <t>CSM Under EV Approach (= CoC - Profit)</t>
  </si>
  <si>
    <t>Adjusted Fullfillment Cash Flows (@FVR)</t>
  </si>
  <si>
    <t>Profit Margin (@ Hurdle Rate)</t>
  </si>
  <si>
    <t>CSM under AFCF Approach (FV -FCF)</t>
  </si>
  <si>
    <t>Can be reflected as cash flows instead of in discount rate with equivalent impact</t>
  </si>
  <si>
    <t>Future Profit [exc. CSM release]</t>
  </si>
  <si>
    <t>Capital Committed (Released)</t>
  </si>
  <si>
    <t>Fulfillment cash Flows</t>
  </si>
  <si>
    <t>Assume return to equal discount rate</t>
  </si>
  <si>
    <r>
      <t xml:space="preserve">PV Future Profits @ Hurdle Rate </t>
    </r>
    <r>
      <rPr>
        <sz val="9"/>
        <color theme="1"/>
        <rFont val="Calibri"/>
        <family val="2"/>
        <scheme val="minor"/>
      </rPr>
      <t>[inc. CSM release &amp; return on surplus]</t>
    </r>
  </si>
  <si>
    <t>Transition CSM</t>
  </si>
  <si>
    <t>Alternative Calculation / Check</t>
  </si>
  <si>
    <t>Required Surplus [TAC - CSM - RA]</t>
  </si>
  <si>
    <t>Buyer needs to commit capital equal to FCF + CSM + Required Surplus, but they initially receive assets equal to fair value (FCF + CSM) so only required surplus must be committed</t>
  </si>
  <si>
    <t>Add: Change in FCF Liability</t>
  </si>
  <si>
    <t>PV of Future CFs</t>
  </si>
  <si>
    <t>Check on Appraisal Value Returns</t>
  </si>
  <si>
    <t>Appraisal Value</t>
  </si>
  <si>
    <t>Appraisal Value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</si>
</sst>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i/>
      <sz val="9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58">
    <xf numFmtId="0" fontId="0" fillId="0" borderId="0" xfId="0"/>
    <xf numFmtId="0" fontId="0" fillId="4" borderId="5" xfId="0" applyFill="1" applyBorder="1"/>
    <xf numFmtId="167" fontId="0" fillId="4" borderId="0" xfId="1" applyNumberFormat="1" applyFont="1" applyFill="1" applyBorder="1"/>
    <xf numFmtId="167" fontId="6" fillId="4" borderId="0" xfId="1" applyNumberFormat="1" applyFont="1" applyFill="1" applyBorder="1"/>
    <xf numFmtId="167" fontId="6" fillId="4" borderId="6" xfId="1" applyNumberFormat="1" applyFont="1" applyFill="1" applyBorder="1"/>
    <xf numFmtId="0" fontId="0" fillId="4" borderId="7" xfId="0" applyFill="1" applyBorder="1"/>
    <xf numFmtId="0" fontId="0" fillId="4" borderId="0" xfId="0" applyFill="1"/>
    <xf numFmtId="167" fontId="0" fillId="4" borderId="0" xfId="1" applyNumberFormat="1" applyFont="1" applyFill="1"/>
    <xf numFmtId="0" fontId="0" fillId="4" borderId="2" xfId="0" applyFill="1" applyBorder="1"/>
    <xf numFmtId="167" fontId="0" fillId="4" borderId="3" xfId="1" applyNumberFormat="1" applyFont="1" applyFill="1" applyBorder="1"/>
    <xf numFmtId="167" fontId="0" fillId="4" borderId="4" xfId="1" applyNumberFormat="1" applyFont="1" applyFill="1" applyBorder="1"/>
    <xf numFmtId="167" fontId="0" fillId="4" borderId="6" xfId="1" applyNumberFormat="1" applyFont="1" applyFill="1" applyBorder="1"/>
    <xf numFmtId="0" fontId="0" fillId="4" borderId="13" xfId="0" applyFill="1" applyBorder="1"/>
    <xf numFmtId="167" fontId="6" fillId="4" borderId="1" xfId="1" applyNumberFormat="1" applyFont="1" applyFill="1" applyBorder="1"/>
    <xf numFmtId="167" fontId="6" fillId="4" borderId="14" xfId="1" applyNumberFormat="1" applyFont="1" applyFill="1" applyBorder="1"/>
    <xf numFmtId="167" fontId="8" fillId="4" borderId="1" xfId="1" applyNumberFormat="1" applyFont="1" applyFill="1" applyBorder="1"/>
    <xf numFmtId="167" fontId="8" fillId="4" borderId="14" xfId="1" applyNumberFormat="1" applyFont="1" applyFill="1" applyBorder="1"/>
    <xf numFmtId="168" fontId="0" fillId="4" borderId="8" xfId="2" applyNumberFormat="1" applyFont="1" applyFill="1" applyBorder="1" applyAlignment="1">
      <alignment horizontal="center"/>
    </xf>
    <xf numFmtId="168" fontId="0" fillId="4" borderId="9" xfId="2" applyNumberFormat="1" applyFont="1" applyFill="1" applyBorder="1" applyAlignment="1">
      <alignment horizontal="center"/>
    </xf>
    <xf numFmtId="0" fontId="4" fillId="4" borderId="0" xfId="3" applyFont="1" applyFill="1"/>
    <xf numFmtId="0" fontId="3" fillId="4" borderId="0" xfId="0" applyFont="1" applyFill="1"/>
    <xf numFmtId="0" fontId="5" fillId="4" borderId="0" xfId="0" applyFont="1" applyFill="1"/>
    <xf numFmtId="167" fontId="0" fillId="4" borderId="0" xfId="0" applyNumberFormat="1" applyFill="1"/>
    <xf numFmtId="0" fontId="0" fillId="4" borderId="1" xfId="0" applyFill="1" applyBorder="1"/>
    <xf numFmtId="166" fontId="0" fillId="4" borderId="0" xfId="0" applyNumberFormat="1" applyFill="1"/>
    <xf numFmtId="1" fontId="0" fillId="4" borderId="0" xfId="0" applyNumberFormat="1" applyFill="1"/>
    <xf numFmtId="166" fontId="0" fillId="4" borderId="0" xfId="1" applyFont="1" applyFill="1"/>
    <xf numFmtId="168" fontId="0" fillId="4" borderId="0" xfId="0" applyNumberFormat="1" applyFill="1"/>
    <xf numFmtId="0" fontId="3" fillId="5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66" fontId="0" fillId="4" borderId="3" xfId="1" applyFont="1" applyFill="1" applyBorder="1"/>
    <xf numFmtId="166" fontId="0" fillId="4" borderId="4" xfId="1" applyFont="1" applyFill="1" applyBorder="1"/>
    <xf numFmtId="166" fontId="0" fillId="4" borderId="0" xfId="1" applyFont="1" applyFill="1" applyBorder="1"/>
    <xf numFmtId="166" fontId="0" fillId="4" borderId="6" xfId="1" applyFont="1" applyFill="1" applyBorder="1"/>
    <xf numFmtId="166" fontId="0" fillId="4" borderId="8" xfId="1" applyFont="1" applyFill="1" applyBorder="1"/>
    <xf numFmtId="166" fontId="0" fillId="4" borderId="9" xfId="1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9" fillId="4" borderId="5" xfId="0" applyFont="1" applyFill="1" applyBorder="1"/>
    <xf numFmtId="167" fontId="9" fillId="4" borderId="6" xfId="1" applyNumberFormat="1" applyFont="1" applyFill="1" applyBorder="1"/>
    <xf numFmtId="0" fontId="8" fillId="4" borderId="5" xfId="0" applyFont="1" applyFill="1" applyBorder="1"/>
    <xf numFmtId="0" fontId="8" fillId="2" borderId="7" xfId="0" applyFont="1" applyFill="1" applyBorder="1"/>
    <xf numFmtId="169" fontId="8" fillId="2" borderId="9" xfId="4" applyNumberFormat="1" applyFont="1" applyFill="1" applyBorder="1"/>
    <xf numFmtId="0" fontId="9" fillId="4" borderId="7" xfId="0" applyFont="1" applyFill="1" applyBorder="1"/>
    <xf numFmtId="167" fontId="9" fillId="4" borderId="9" xfId="1" applyNumberFormat="1" applyFont="1" applyFill="1" applyBorder="1"/>
    <xf numFmtId="0" fontId="0" fillId="6" borderId="13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167" fontId="8" fillId="4" borderId="0" xfId="1" applyNumberFormat="1" applyFont="1" applyFill="1" applyBorder="1"/>
    <xf numFmtId="167" fontId="8" fillId="4" borderId="5" xfId="1" applyNumberFormat="1" applyFont="1" applyFill="1" applyBorder="1"/>
    <xf numFmtId="167" fontId="8" fillId="4" borderId="6" xfId="1" applyNumberFormat="1" applyFont="1" applyFill="1" applyBorder="1"/>
    <xf numFmtId="167" fontId="8" fillId="4" borderId="5" xfId="1" quotePrefix="1" applyNumberFormat="1" applyFont="1" applyFill="1" applyBorder="1"/>
    <xf numFmtId="167" fontId="8" fillId="4" borderId="0" xfId="1" quotePrefix="1" applyNumberFormat="1" applyFont="1" applyFill="1" applyBorder="1"/>
    <xf numFmtId="0" fontId="9" fillId="4" borderId="13" xfId="0" applyFont="1" applyFill="1" applyBorder="1"/>
    <xf numFmtId="167" fontId="9" fillId="4" borderId="14" xfId="1" applyNumberFormat="1" applyFont="1" applyFill="1" applyBorder="1"/>
    <xf numFmtId="167" fontId="9" fillId="4" borderId="7" xfId="1" applyNumberFormat="1" applyFont="1" applyFill="1" applyBorder="1"/>
    <xf numFmtId="167" fontId="9" fillId="4" borderId="8" xfId="1" applyNumberFormat="1" applyFont="1" applyFill="1" applyBorder="1"/>
    <xf numFmtId="168" fontId="0" fillId="4" borderId="8" xfId="2" applyNumberFormat="1" applyFont="1" applyFill="1" applyBorder="1"/>
    <xf numFmtId="168" fontId="0" fillId="4" borderId="0" xfId="2" applyNumberFormat="1" applyFont="1" applyFill="1" applyBorder="1"/>
    <xf numFmtId="0" fontId="3" fillId="7" borderId="12" xfId="0" applyFont="1" applyFill="1" applyBorder="1" applyAlignment="1">
      <alignment horizontal="center"/>
    </xf>
    <xf numFmtId="169" fontId="0" fillId="2" borderId="9" xfId="4" applyNumberFormat="1" applyFont="1" applyFill="1" applyBorder="1"/>
    <xf numFmtId="0" fontId="3" fillId="4" borderId="13" xfId="0" applyFont="1" applyFill="1" applyBorder="1"/>
    <xf numFmtId="167" fontId="3" fillId="4" borderId="14" xfId="1" applyNumberFormat="1" applyFont="1" applyFill="1" applyBorder="1"/>
    <xf numFmtId="167" fontId="3" fillId="4" borderId="1" xfId="1" applyNumberFormat="1" applyFont="1" applyFill="1" applyBorder="1"/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4" borderId="14" xfId="0" applyFill="1" applyBorder="1"/>
    <xf numFmtId="0" fontId="0" fillId="4" borderId="0" xfId="0" quotePrefix="1" applyFill="1"/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3" fillId="4" borderId="7" xfId="0" applyFont="1" applyFill="1" applyBorder="1"/>
    <xf numFmtId="167" fontId="3" fillId="4" borderId="9" xfId="1" applyNumberFormat="1" applyFont="1" applyFill="1" applyBorder="1"/>
    <xf numFmtId="167" fontId="3" fillId="4" borderId="8" xfId="1" applyNumberFormat="1" applyFont="1" applyFill="1" applyBorder="1"/>
    <xf numFmtId="167" fontId="8" fillId="4" borderId="5" xfId="1" applyNumberFormat="1" applyFont="1" applyFill="1" applyBorder="1" applyAlignment="1"/>
    <xf numFmtId="167" fontId="8" fillId="4" borderId="0" xfId="1" applyNumberFormat="1" applyFont="1" applyFill="1" applyBorder="1" applyAlignment="1"/>
    <xf numFmtId="167" fontId="8" fillId="4" borderId="6" xfId="1" applyNumberFormat="1" applyFont="1" applyFill="1" applyBorder="1" applyAlignment="1"/>
    <xf numFmtId="167" fontId="11" fillId="4" borderId="0" xfId="1" applyNumberFormat="1" applyFont="1" applyFill="1"/>
    <xf numFmtId="167" fontId="11" fillId="4" borderId="0" xfId="1" applyNumberFormat="1" applyFont="1" applyFill="1" applyBorder="1"/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0" fillId="2" borderId="2" xfId="0" applyFill="1" applyBorder="1"/>
    <xf numFmtId="0" fontId="0" fillId="2" borderId="7" xfId="0" applyFill="1" applyBorder="1"/>
    <xf numFmtId="16" fontId="0" fillId="4" borderId="0" xfId="0" applyNumberFormat="1" applyFill="1"/>
    <xf numFmtId="10" fontId="6" fillId="4" borderId="0" xfId="2" applyNumberFormat="1" applyFont="1" applyFill="1" applyBorder="1"/>
    <xf numFmtId="10" fontId="6" fillId="4" borderId="0" xfId="0" applyNumberFormat="1" applyFont="1" applyFill="1" applyAlignment="1">
      <alignment horizontal="center"/>
    </xf>
    <xf numFmtId="10" fontId="6" fillId="4" borderId="6" xfId="0" applyNumberFormat="1" applyFont="1" applyFill="1" applyBorder="1" applyAlignment="1">
      <alignment horizontal="center"/>
    </xf>
    <xf numFmtId="168" fontId="6" fillId="4" borderId="4" xfId="0" applyNumberFormat="1" applyFont="1" applyFill="1" applyBorder="1"/>
    <xf numFmtId="168" fontId="6" fillId="4" borderId="6" xfId="0" applyNumberFormat="1" applyFont="1" applyFill="1" applyBorder="1"/>
    <xf numFmtId="168" fontId="6" fillId="4" borderId="9" xfId="0" applyNumberFormat="1" applyFont="1" applyFill="1" applyBorder="1"/>
    <xf numFmtId="0" fontId="3" fillId="4" borderId="5" xfId="0" applyFont="1" applyFill="1" applyBorder="1"/>
    <xf numFmtId="167" fontId="3" fillId="4" borderId="0" xfId="1" applyNumberFormat="1" applyFont="1" applyFill="1" applyBorder="1"/>
    <xf numFmtId="167" fontId="9" fillId="4" borderId="5" xfId="1" applyNumberFormat="1" applyFont="1" applyFill="1" applyBorder="1"/>
    <xf numFmtId="167" fontId="9" fillId="4" borderId="0" xfId="1" applyNumberFormat="1" applyFont="1" applyFill="1" applyBorder="1"/>
    <xf numFmtId="167" fontId="8" fillId="4" borderId="6" xfId="1" quotePrefix="1" applyNumberFormat="1" applyFont="1" applyFill="1" applyBorder="1"/>
    <xf numFmtId="167" fontId="6" fillId="4" borderId="15" xfId="1" applyNumberFormat="1" applyFont="1" applyFill="1" applyBorder="1"/>
    <xf numFmtId="167" fontId="3" fillId="4" borderId="6" xfId="1" applyNumberFormat="1" applyFont="1" applyFill="1" applyBorder="1"/>
    <xf numFmtId="168" fontId="0" fillId="4" borderId="15" xfId="2" applyNumberFormat="1" applyFont="1" applyFill="1" applyBorder="1"/>
    <xf numFmtId="167" fontId="3" fillId="4" borderId="8" xfId="1" applyNumberFormat="1" applyFont="1" applyFill="1" applyBorder="1" applyAlignment="1"/>
    <xf numFmtId="164" fontId="8" fillId="4" borderId="4" xfId="1" quotePrefix="1" applyNumberFormat="1" applyFont="1" applyFill="1" applyBorder="1"/>
    <xf numFmtId="9" fontId="6" fillId="4" borderId="8" xfId="0" applyNumberFormat="1" applyFont="1" applyFill="1" applyBorder="1"/>
    <xf numFmtId="164" fontId="8" fillId="4" borderId="3" xfId="1" quotePrefix="1" applyNumberFormat="1" applyFont="1" applyFill="1" applyBorder="1"/>
    <xf numFmtId="164" fontId="8" fillId="4" borderId="2" xfId="1" quotePrefix="1" applyNumberFormat="1" applyFont="1" applyFill="1" applyBorder="1"/>
    <xf numFmtId="167" fontId="8" fillId="4" borderId="0" xfId="1" applyNumberFormat="1" applyFont="1" applyFill="1"/>
    <xf numFmtId="9" fontId="6" fillId="4" borderId="4" xfId="0" applyNumberFormat="1" applyFont="1" applyFill="1" applyBorder="1"/>
    <xf numFmtId="9" fontId="6" fillId="4" borderId="6" xfId="0" applyNumberFormat="1" applyFont="1" applyFill="1" applyBorder="1"/>
    <xf numFmtId="9" fontId="6" fillId="4" borderId="9" xfId="0" applyNumberFormat="1" applyFont="1" applyFill="1" applyBorder="1"/>
    <xf numFmtId="167" fontId="7" fillId="4" borderId="0" xfId="1" applyNumberFormat="1" applyFont="1" applyFill="1" applyBorder="1"/>
    <xf numFmtId="0" fontId="0" fillId="4" borderId="3" xfId="0" applyFill="1" applyBorder="1"/>
    <xf numFmtId="0" fontId="3" fillId="5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7" fontId="6" fillId="6" borderId="1" xfId="1" applyNumberFormat="1" applyFont="1" applyFill="1" applyBorder="1"/>
    <xf numFmtId="167" fontId="6" fillId="6" borderId="14" xfId="1" applyNumberFormat="1" applyFont="1" applyFill="1" applyBorder="1"/>
    <xf numFmtId="9" fontId="6" fillId="4" borderId="0" xfId="0" applyNumberFormat="1" applyFont="1" applyFill="1"/>
    <xf numFmtId="167" fontId="15" fillId="4" borderId="0" xfId="0" applyNumberFormat="1" applyFont="1" applyFill="1"/>
    <xf numFmtId="166" fontId="15" fillId="4" borderId="0" xfId="0" applyNumberFormat="1" applyFont="1" applyFill="1"/>
    <xf numFmtId="0" fontId="8" fillId="4" borderId="0" xfId="0" applyFont="1" applyFill="1"/>
    <xf numFmtId="0" fontId="7" fillId="6" borderId="16" xfId="0" applyFont="1" applyFill="1" applyBorder="1" applyAlignment="1">
      <alignment horizontal="center"/>
    </xf>
    <xf numFmtId="167" fontId="7" fillId="4" borderId="17" xfId="1" applyNumberFormat="1" applyFont="1" applyFill="1" applyBorder="1"/>
    <xf numFmtId="167" fontId="0" fillId="4" borderId="18" xfId="1" applyNumberFormat="1" applyFont="1" applyFill="1" applyBorder="1"/>
    <xf numFmtId="167" fontId="0" fillId="4" borderId="17" xfId="1" applyNumberFormat="1" applyFont="1" applyFill="1" applyBorder="1"/>
    <xf numFmtId="167" fontId="3" fillId="4" borderId="19" xfId="1" applyNumberFormat="1" applyFont="1" applyFill="1" applyBorder="1"/>
    <xf numFmtId="0" fontId="3" fillId="0" borderId="7" xfId="0" applyFont="1" applyBorder="1"/>
    <xf numFmtId="167" fontId="3" fillId="2" borderId="9" xfId="1" applyNumberFormat="1" applyFont="1" applyFill="1" applyBorder="1"/>
    <xf numFmtId="167" fontId="7" fillId="4" borderId="6" xfId="1" applyNumberFormat="1" applyFont="1" applyFill="1" applyBorder="1"/>
    <xf numFmtId="167" fontId="6" fillId="4" borderId="0" xfId="1" applyNumberFormat="1" applyFont="1" applyFill="1"/>
    <xf numFmtId="10" fontId="6" fillId="4" borderId="0" xfId="2" applyNumberFormat="1" applyFont="1" applyFill="1"/>
    <xf numFmtId="166" fontId="16" fillId="4" borderId="3" xfId="1" applyFont="1" applyFill="1" applyBorder="1"/>
    <xf numFmtId="166" fontId="16" fillId="4" borderId="0" xfId="1" applyFont="1" applyFill="1"/>
    <xf numFmtId="10" fontId="6" fillId="4" borderId="8" xfId="2" applyNumberFormat="1" applyFont="1" applyFill="1" applyBorder="1"/>
    <xf numFmtId="10" fontId="6" fillId="4" borderId="9" xfId="2" applyNumberFormat="1" applyFont="1" applyFill="1" applyBorder="1"/>
    <xf numFmtId="167" fontId="9" fillId="4" borderId="13" xfId="1" quotePrefix="1" applyNumberFormat="1" applyFont="1" applyFill="1" applyBorder="1"/>
    <xf numFmtId="167" fontId="9" fillId="4" borderId="1" xfId="1" quotePrefix="1" applyNumberFormat="1" applyFont="1" applyFill="1" applyBorder="1"/>
    <xf numFmtId="167" fontId="9" fillId="4" borderId="14" xfId="1" quotePrefix="1" applyNumberFormat="1" applyFont="1" applyFill="1" applyBorder="1"/>
    <xf numFmtId="167" fontId="6" fillId="4" borderId="0" xfId="2" applyNumberFormat="1" applyFont="1" applyFill="1"/>
    <xf numFmtId="10" fontId="0" fillId="2" borderId="4" xfId="2" applyNumberFormat="1" applyFont="1" applyFill="1" applyBorder="1"/>
    <xf numFmtId="167" fontId="0" fillId="2" borderId="9" xfId="2" applyNumberFormat="1" applyFont="1" applyFill="1" applyBorder="1"/>
    <xf numFmtId="0" fontId="3" fillId="5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7" fontId="0" fillId="4" borderId="0" xfId="1" applyNumberFormat="1" applyFont="1" applyFill="1" applyBorder="1" applyAlignment="1">
      <alignment horizontal="center"/>
    </xf>
    <xf numFmtId="167" fontId="0" fillId="4" borderId="6" xfId="1" applyNumberFormat="1" applyFont="1" applyFill="1" applyBorder="1" applyAlignment="1">
      <alignment horizontal="center"/>
    </xf>
    <xf numFmtId="167" fontId="0" fillId="4" borderId="8" xfId="1" applyNumberFormat="1" applyFont="1" applyFill="1" applyBorder="1" applyAlignment="1">
      <alignment horizontal="center"/>
    </xf>
    <xf numFmtId="167" fontId="3" fillId="4" borderId="8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167" fontId="0" fillId="4" borderId="9" xfId="1" applyNumberFormat="1" applyFont="1" applyFill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167" fontId="0" fillId="4" borderId="14" xfId="1" applyNumberFormat="1" applyFont="1" applyFill="1" applyBorder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Percent" xfId="2" builtinId="5"/>
    <cellStyle name="Title" xfId="3" builtinId="1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F016-76F5-48EE-AE80-92E69143F4C9}">
  <dimension ref="B1:O42"/>
  <sheetViews>
    <sheetView tabSelected="1" view="pageLayout" topLeftCell="C1" zoomScaleNormal="100" workbookViewId="0">
      <selection activeCell="C5" sqref="C5"/>
    </sheetView>
  </sheetViews>
  <sheetFormatPr defaultColWidth="9.21875" defaultRowHeight="14.4" x14ac:dyDescent="0.3"/>
  <cols>
    <col min="1" max="2" width="9.21875" style="6"/>
    <col min="3" max="3" width="48.77734375" style="6" bestFit="1" customWidth="1"/>
    <col min="4" max="16384" width="9.21875" style="6"/>
  </cols>
  <sheetData>
    <row r="1" spans="2:14" x14ac:dyDescent="0.3">
      <c r="B1" s="20"/>
    </row>
    <row r="2" spans="2:14" ht="16.2" thickBot="1" x14ac:dyDescent="0.35">
      <c r="C2" s="21" t="s">
        <v>2</v>
      </c>
    </row>
    <row r="3" spans="2:14" ht="16.2" thickBot="1" x14ac:dyDescent="0.35">
      <c r="B3" s="21"/>
      <c r="C3" s="145" t="s">
        <v>61</v>
      </c>
      <c r="D3" s="146"/>
    </row>
    <row r="4" spans="2:14" ht="15.6" x14ac:dyDescent="0.3">
      <c r="B4" s="21"/>
      <c r="C4" s="8" t="s">
        <v>14</v>
      </c>
      <c r="D4" s="95">
        <v>0.15</v>
      </c>
    </row>
    <row r="5" spans="2:14" ht="15.6" x14ac:dyDescent="0.3">
      <c r="B5" s="21"/>
      <c r="C5" s="1" t="s">
        <v>15</v>
      </c>
      <c r="D5" s="96">
        <v>0.02</v>
      </c>
    </row>
    <row r="6" spans="2:14" ht="15.6" x14ac:dyDescent="0.3">
      <c r="B6" s="21"/>
      <c r="C6" s="1" t="s">
        <v>60</v>
      </c>
      <c r="D6" s="96">
        <v>0.05</v>
      </c>
    </row>
    <row r="7" spans="2:14" ht="16.2" thickBot="1" x14ac:dyDescent="0.35">
      <c r="B7" s="21"/>
      <c r="C7" s="5" t="s">
        <v>33</v>
      </c>
      <c r="D7" s="97">
        <v>0.05</v>
      </c>
    </row>
    <row r="8" spans="2:14" ht="16.2" thickBot="1" x14ac:dyDescent="0.35">
      <c r="B8" s="21"/>
    </row>
    <row r="9" spans="2:14" ht="16.2" thickBot="1" x14ac:dyDescent="0.35">
      <c r="B9" s="21"/>
      <c r="C9" s="145" t="s">
        <v>21</v>
      </c>
      <c r="D9" s="146"/>
    </row>
    <row r="10" spans="2:14" ht="15.6" x14ac:dyDescent="0.3">
      <c r="B10" s="21"/>
      <c r="C10" s="8" t="s">
        <v>6</v>
      </c>
      <c r="D10" s="112">
        <v>0.12</v>
      </c>
    </row>
    <row r="11" spans="2:14" ht="15.6" x14ac:dyDescent="0.3">
      <c r="B11" s="21"/>
      <c r="C11" s="1" t="s">
        <v>64</v>
      </c>
      <c r="D11" s="113">
        <v>0.04</v>
      </c>
    </row>
    <row r="12" spans="2:14" ht="15.6" x14ac:dyDescent="0.3">
      <c r="B12" s="21"/>
      <c r="C12" s="1" t="s">
        <v>17</v>
      </c>
      <c r="D12" s="113">
        <v>1.2</v>
      </c>
    </row>
    <row r="13" spans="2:14" ht="16.2" thickBot="1" x14ac:dyDescent="0.35">
      <c r="B13" s="21"/>
      <c r="C13" s="5" t="s">
        <v>20</v>
      </c>
      <c r="D13" s="114">
        <v>0.15</v>
      </c>
    </row>
    <row r="14" spans="2:14" ht="16.2" thickBot="1" x14ac:dyDescent="0.35">
      <c r="B14" s="21"/>
    </row>
    <row r="15" spans="2:14" ht="16.2" thickBot="1" x14ac:dyDescent="0.35">
      <c r="B15" s="21"/>
      <c r="C15" s="117" t="s">
        <v>80</v>
      </c>
      <c r="D15" s="28">
        <v>0</v>
      </c>
      <c r="E15" s="28">
        <v>1</v>
      </c>
      <c r="F15" s="28">
        <v>2</v>
      </c>
      <c r="G15" s="28">
        <v>3</v>
      </c>
      <c r="H15" s="28">
        <v>4</v>
      </c>
      <c r="I15" s="28">
        <v>5</v>
      </c>
      <c r="J15" s="28">
        <v>6</v>
      </c>
      <c r="K15" s="28">
        <v>7</v>
      </c>
      <c r="L15" s="28">
        <v>8</v>
      </c>
      <c r="M15" s="28">
        <v>9</v>
      </c>
      <c r="N15" s="118">
        <v>10</v>
      </c>
    </row>
    <row r="16" spans="2:14" ht="15.6" x14ac:dyDescent="0.3">
      <c r="B16" s="21"/>
      <c r="C16" s="1" t="s">
        <v>9</v>
      </c>
      <c r="D16" s="3"/>
      <c r="E16" s="3">
        <v>1000</v>
      </c>
      <c r="F16" s="3">
        <v>1000</v>
      </c>
      <c r="G16" s="3">
        <v>1000</v>
      </c>
      <c r="H16" s="3">
        <v>1000</v>
      </c>
      <c r="I16" s="3">
        <v>1000</v>
      </c>
      <c r="J16" s="3">
        <v>1000</v>
      </c>
      <c r="K16" s="3">
        <v>1000</v>
      </c>
      <c r="L16" s="3">
        <v>1000</v>
      </c>
      <c r="M16" s="3">
        <v>1000</v>
      </c>
      <c r="N16" s="4">
        <v>1000</v>
      </c>
    </row>
    <row r="17" spans="2:15" ht="15.6" x14ac:dyDescent="0.3">
      <c r="B17" s="21"/>
      <c r="C17" s="1" t="s">
        <v>11</v>
      </c>
      <c r="D17" s="3"/>
      <c r="E17" s="3">
        <v>20</v>
      </c>
      <c r="F17" s="3">
        <v>20</v>
      </c>
      <c r="G17" s="3">
        <v>20</v>
      </c>
      <c r="H17" s="3">
        <v>20</v>
      </c>
      <c r="I17" s="3">
        <v>20</v>
      </c>
      <c r="J17" s="3">
        <v>20</v>
      </c>
      <c r="K17" s="3">
        <v>20</v>
      </c>
      <c r="L17" s="3">
        <v>20</v>
      </c>
      <c r="M17" s="3">
        <v>20</v>
      </c>
      <c r="N17" s="4">
        <v>20</v>
      </c>
    </row>
    <row r="18" spans="2:15" ht="15.6" x14ac:dyDescent="0.3">
      <c r="B18" s="21"/>
      <c r="C18" s="1" t="s">
        <v>12</v>
      </c>
      <c r="D18" s="3"/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4">
        <v>10</v>
      </c>
    </row>
    <row r="19" spans="2:15" ht="15.6" x14ac:dyDescent="0.3">
      <c r="B19" s="21"/>
      <c r="C19" s="1" t="s">
        <v>36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</row>
    <row r="20" spans="2:15" ht="15.6" x14ac:dyDescent="0.3">
      <c r="B20" s="21"/>
      <c r="C20" s="12" t="s">
        <v>37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2:15" ht="15.6" x14ac:dyDescent="0.3">
      <c r="B21" s="21"/>
      <c r="C21" s="1" t="s">
        <v>14</v>
      </c>
      <c r="D21" s="3">
        <f>Inputs!$D4*Inputs!D$33</f>
        <v>1158.2602393777217</v>
      </c>
      <c r="E21" s="3">
        <f>Inputs!$D4*Inputs!E$33</f>
        <v>1066.1732513466079</v>
      </c>
      <c r="F21" s="3">
        <f>Inputs!$D4*Inputs!F$33</f>
        <v>969.48191391393834</v>
      </c>
      <c r="G21" s="3">
        <f>Inputs!$D4*Inputs!G$33</f>
        <v>867.95600960963532</v>
      </c>
      <c r="H21" s="3">
        <f>Inputs!$D4*Inputs!H$33</f>
        <v>761.35381009011701</v>
      </c>
      <c r="I21" s="3">
        <f>Inputs!$D4*Inputs!I$33</f>
        <v>649.42150059462301</v>
      </c>
      <c r="J21" s="3">
        <f>Inputs!$D4*Inputs!J$33</f>
        <v>531.89257562435398</v>
      </c>
      <c r="K21" s="3">
        <f>Inputs!$D4*Inputs!K$33</f>
        <v>408.48720440557173</v>
      </c>
      <c r="L21" s="3">
        <f>Inputs!$D4*Inputs!L$33</f>
        <v>278.9115646258503</v>
      </c>
      <c r="M21" s="3">
        <f>Inputs!$D4*Inputs!M$33</f>
        <v>142.85714285714286</v>
      </c>
      <c r="N21" s="103">
        <f>Inputs!$D4*Inputs!N$33</f>
        <v>0</v>
      </c>
      <c r="O21" s="91"/>
    </row>
    <row r="22" spans="2:15" ht="15.6" x14ac:dyDescent="0.3">
      <c r="B22" s="21"/>
      <c r="C22" s="1" t="s">
        <v>15</v>
      </c>
      <c r="D22" s="3">
        <f>Inputs!$D5*Inputs!D$33</f>
        <v>154.43469858369622</v>
      </c>
      <c r="E22" s="3">
        <f>Inputs!$D5*Inputs!E$33</f>
        <v>142.15643351288105</v>
      </c>
      <c r="F22" s="3">
        <f>Inputs!$D5*Inputs!F$33</f>
        <v>129.26425518852511</v>
      </c>
      <c r="G22" s="3">
        <f>Inputs!$D5*Inputs!G$33</f>
        <v>115.72746794795137</v>
      </c>
      <c r="H22" s="3">
        <f>Inputs!$D5*Inputs!H$33</f>
        <v>101.51384134534894</v>
      </c>
      <c r="I22" s="3">
        <f>Inputs!$D5*Inputs!I$33</f>
        <v>86.589533412616404</v>
      </c>
      <c r="J22" s="3">
        <f>Inputs!$D5*Inputs!J$33</f>
        <v>70.919010083247201</v>
      </c>
      <c r="K22" s="3">
        <f>Inputs!$D5*Inputs!K$33</f>
        <v>54.464960587409571</v>
      </c>
      <c r="L22" s="3">
        <f>Inputs!$D5*Inputs!L$33</f>
        <v>37.188208616780045</v>
      </c>
      <c r="M22" s="3">
        <f>Inputs!$D5*Inputs!M$33</f>
        <v>19.047619047619047</v>
      </c>
      <c r="N22" s="4">
        <f>Inputs!$D5*Inputs!N$33</f>
        <v>0</v>
      </c>
    </row>
    <row r="23" spans="2:15" ht="15.6" x14ac:dyDescent="0.3">
      <c r="B23" s="21"/>
      <c r="C23" s="1" t="s">
        <v>16</v>
      </c>
      <c r="D23" s="3">
        <f>Inputs!$D6*Inputs!D$33</f>
        <v>386.0867464592406</v>
      </c>
      <c r="E23" s="3">
        <f>Inputs!$D6*Inputs!E$33</f>
        <v>355.39108378220266</v>
      </c>
      <c r="F23" s="3">
        <f>Inputs!$D6*Inputs!F$33</f>
        <v>323.16063797131278</v>
      </c>
      <c r="G23" s="3">
        <f>Inputs!$D6*Inputs!G$33</f>
        <v>289.31866986987842</v>
      </c>
      <c r="H23" s="3">
        <f>Inputs!$D6*Inputs!H$33</f>
        <v>253.78460336337236</v>
      </c>
      <c r="I23" s="3">
        <f>Inputs!$D6*Inputs!I$33</f>
        <v>216.473833531541</v>
      </c>
      <c r="J23" s="3">
        <f>Inputs!$D6*Inputs!J$33</f>
        <v>177.29752520811803</v>
      </c>
      <c r="K23" s="3">
        <f>Inputs!$D6*Inputs!K$33</f>
        <v>136.16240146852394</v>
      </c>
      <c r="L23" s="3">
        <f>Inputs!$D6*Inputs!L$33</f>
        <v>92.97052154195012</v>
      </c>
      <c r="M23" s="3">
        <f>Inputs!$D6*Inputs!M$33</f>
        <v>47.61904761904762</v>
      </c>
      <c r="N23" s="4">
        <f>Inputs!$D6*Inputs!N$33</f>
        <v>0</v>
      </c>
    </row>
    <row r="24" spans="2:15" ht="15.6" x14ac:dyDescent="0.3">
      <c r="B24" s="21"/>
      <c r="C24" s="48" t="s">
        <v>33</v>
      </c>
      <c r="D24" s="119">
        <f>Inputs!$D7*Inputs!D$33</f>
        <v>386.0867464592406</v>
      </c>
      <c r="E24" s="119">
        <f>Inputs!$D7*Inputs!E$33</f>
        <v>355.39108378220266</v>
      </c>
      <c r="F24" s="119">
        <f>Inputs!$D7*Inputs!F$33</f>
        <v>323.16063797131278</v>
      </c>
      <c r="G24" s="119">
        <f>Inputs!$D7*Inputs!G$33</f>
        <v>289.31866986987842</v>
      </c>
      <c r="H24" s="119">
        <f>Inputs!$D7*Inputs!H$33</f>
        <v>253.78460336337236</v>
      </c>
      <c r="I24" s="119">
        <f>Inputs!$D7*Inputs!I$33</f>
        <v>216.473833531541</v>
      </c>
      <c r="J24" s="119">
        <f>Inputs!$D7*Inputs!J$33</f>
        <v>177.29752520811803</v>
      </c>
      <c r="K24" s="119">
        <f>Inputs!$D7*Inputs!K$33</f>
        <v>136.16240146852394</v>
      </c>
      <c r="L24" s="119">
        <f>Inputs!$D7*Inputs!L$33</f>
        <v>92.97052154195012</v>
      </c>
      <c r="M24" s="119">
        <f>Inputs!$D7*Inputs!M$33</f>
        <v>47.61904761904762</v>
      </c>
      <c r="N24" s="120">
        <f>Inputs!$D7*Inputs!N$33</f>
        <v>0</v>
      </c>
      <c r="O24" s="76" t="s">
        <v>65</v>
      </c>
    </row>
    <row r="25" spans="2:15" ht="15.6" x14ac:dyDescent="0.3">
      <c r="B25" s="21"/>
      <c r="C25" s="1" t="s">
        <v>5</v>
      </c>
      <c r="D25" s="92">
        <v>0.05</v>
      </c>
      <c r="E25" s="93">
        <v>0.05</v>
      </c>
      <c r="F25" s="93">
        <f t="shared" ref="F25:I26" si="0">E25</f>
        <v>0.05</v>
      </c>
      <c r="G25" s="93">
        <f t="shared" si="0"/>
        <v>0.05</v>
      </c>
      <c r="H25" s="93">
        <f t="shared" si="0"/>
        <v>0.05</v>
      </c>
      <c r="I25" s="93">
        <f t="shared" si="0"/>
        <v>0.05</v>
      </c>
      <c r="J25" s="93">
        <v>0.05</v>
      </c>
      <c r="K25" s="93">
        <f t="shared" ref="K25:N26" si="1">J25</f>
        <v>0.05</v>
      </c>
      <c r="L25" s="93">
        <f t="shared" si="1"/>
        <v>0.05</v>
      </c>
      <c r="M25" s="93">
        <f t="shared" si="1"/>
        <v>0.05</v>
      </c>
      <c r="N25" s="94">
        <f t="shared" si="1"/>
        <v>0.05</v>
      </c>
    </row>
    <row r="26" spans="2:15" ht="15.6" x14ac:dyDescent="0.3">
      <c r="B26" s="21"/>
      <c r="C26" s="1" t="s">
        <v>19</v>
      </c>
      <c r="D26" s="92">
        <v>2.5000000000000001E-3</v>
      </c>
      <c r="E26" s="93">
        <f>D26</f>
        <v>2.5000000000000001E-3</v>
      </c>
      <c r="F26" s="93">
        <f t="shared" si="0"/>
        <v>2.5000000000000001E-3</v>
      </c>
      <c r="G26" s="93">
        <f t="shared" si="0"/>
        <v>2.5000000000000001E-3</v>
      </c>
      <c r="H26" s="93">
        <f t="shared" si="0"/>
        <v>2.5000000000000001E-3</v>
      </c>
      <c r="I26" s="93">
        <f t="shared" si="0"/>
        <v>2.5000000000000001E-3</v>
      </c>
      <c r="J26" s="93">
        <f>I26</f>
        <v>2.5000000000000001E-3</v>
      </c>
      <c r="K26" s="93">
        <f t="shared" si="1"/>
        <v>2.5000000000000001E-3</v>
      </c>
      <c r="L26" s="93">
        <f t="shared" si="1"/>
        <v>2.5000000000000001E-3</v>
      </c>
      <c r="M26" s="93">
        <f t="shared" si="1"/>
        <v>2.5000000000000001E-3</v>
      </c>
      <c r="N26" s="94">
        <f t="shared" si="1"/>
        <v>2.5000000000000001E-3</v>
      </c>
    </row>
    <row r="27" spans="2:15" ht="16.2" thickBot="1" x14ac:dyDescent="0.35">
      <c r="B27" s="21"/>
      <c r="C27" s="5" t="s">
        <v>8</v>
      </c>
      <c r="D27" s="137">
        <f t="shared" ref="D27:N27" si="2">$D$11</f>
        <v>0.04</v>
      </c>
      <c r="E27" s="137">
        <f t="shared" si="2"/>
        <v>0.04</v>
      </c>
      <c r="F27" s="137">
        <f t="shared" si="2"/>
        <v>0.04</v>
      </c>
      <c r="G27" s="137">
        <f t="shared" si="2"/>
        <v>0.04</v>
      </c>
      <c r="H27" s="137">
        <f t="shared" si="2"/>
        <v>0.04</v>
      </c>
      <c r="I27" s="137">
        <f t="shared" si="2"/>
        <v>0.04</v>
      </c>
      <c r="J27" s="137">
        <f t="shared" si="2"/>
        <v>0.04</v>
      </c>
      <c r="K27" s="137">
        <f t="shared" si="2"/>
        <v>0.04</v>
      </c>
      <c r="L27" s="137">
        <f t="shared" si="2"/>
        <v>0.04</v>
      </c>
      <c r="M27" s="137">
        <f t="shared" si="2"/>
        <v>0.04</v>
      </c>
      <c r="N27" s="138">
        <f t="shared" si="2"/>
        <v>0.04</v>
      </c>
    </row>
    <row r="31" spans="2:15" ht="16.2" thickBot="1" x14ac:dyDescent="0.35">
      <c r="C31" s="21" t="s">
        <v>18</v>
      </c>
    </row>
    <row r="32" spans="2:15" ht="15" thickBot="1" x14ac:dyDescent="0.35">
      <c r="C32" s="31" t="s">
        <v>81</v>
      </c>
      <c r="D32" s="29">
        <f>Inputs!D15</f>
        <v>0</v>
      </c>
      <c r="E32" s="29">
        <f>Inputs!E15</f>
        <v>1</v>
      </c>
      <c r="F32" s="29">
        <f>Inputs!F15</f>
        <v>2</v>
      </c>
      <c r="G32" s="29">
        <f>Inputs!G15</f>
        <v>3</v>
      </c>
      <c r="H32" s="29">
        <f>Inputs!H15</f>
        <v>4</v>
      </c>
      <c r="I32" s="29">
        <f>Inputs!I15</f>
        <v>5</v>
      </c>
      <c r="J32" s="29">
        <f>Inputs!J15</f>
        <v>6</v>
      </c>
      <c r="K32" s="29">
        <f>Inputs!K15</f>
        <v>7</v>
      </c>
      <c r="L32" s="29">
        <f>Inputs!L15</f>
        <v>8</v>
      </c>
      <c r="M32" s="29">
        <f>Inputs!M15</f>
        <v>9</v>
      </c>
      <c r="N32" s="30">
        <f>Inputs!N15</f>
        <v>10</v>
      </c>
    </row>
    <row r="33" spans="3:14" x14ac:dyDescent="0.3">
      <c r="C33" s="8" t="s">
        <v>97</v>
      </c>
      <c r="D33" s="9">
        <f>SUMPRODUCT(Inputs!E16:$N16,E$40:$N$40)/D$40</f>
        <v>7721.7349291848113</v>
      </c>
      <c r="E33" s="9">
        <f>SUMPRODUCT(Inputs!F16:$N16,F$40:$N$40)/E$40</f>
        <v>7107.8216756440524</v>
      </c>
      <c r="F33" s="9">
        <f>SUMPRODUCT(Inputs!G16:$N16,G$40:$N$40)/F$40</f>
        <v>6463.2127594262556</v>
      </c>
      <c r="G33" s="9">
        <f>SUMPRODUCT(Inputs!H16:$N16,H$40:$N$40)/G$40</f>
        <v>5786.3733973975686</v>
      </c>
      <c r="H33" s="9">
        <f>SUMPRODUCT(Inputs!I16:$N16,I$40:$N$40)/H$40</f>
        <v>5075.6920672674469</v>
      </c>
      <c r="I33" s="9">
        <f>SUMPRODUCT(Inputs!J16:$N16,J$40:$N$40)/I$40</f>
        <v>4329.4766706308201</v>
      </c>
      <c r="J33" s="9">
        <f>SUMPRODUCT(Inputs!K16:$N16,K$40:$N$40)/J$40</f>
        <v>3545.9505041623602</v>
      </c>
      <c r="K33" s="9">
        <f>SUMPRODUCT(Inputs!L16:$N16,L$40:$N$40)/K$40</f>
        <v>2723.2480293704784</v>
      </c>
      <c r="L33" s="9">
        <f>SUMPRODUCT(Inputs!M16:$N16,M$40:$N$40)/L$40</f>
        <v>1859.4104308390022</v>
      </c>
      <c r="M33" s="9">
        <f>SUMPRODUCT(Inputs!N16:$N16,N$40:$N$40)/M$40</f>
        <v>952.38095238095241</v>
      </c>
      <c r="N33" s="10">
        <v>0</v>
      </c>
    </row>
    <row r="34" spans="3:14" x14ac:dyDescent="0.3">
      <c r="C34" s="1" t="s">
        <v>28</v>
      </c>
      <c r="D34" s="2">
        <f>SUMPRODUCT(Inputs!E17:$N17,E$40:$N$40)/D$40</f>
        <v>154.43469858369625</v>
      </c>
      <c r="E34" s="2">
        <f>SUMPRODUCT(Inputs!F17:$N17,F$40:$N$40)/E$40</f>
        <v>142.15643351288105</v>
      </c>
      <c r="F34" s="2">
        <f>SUMPRODUCT(Inputs!G17:$N17,G$40:$N$40)/F$40</f>
        <v>129.26425518852508</v>
      </c>
      <c r="G34" s="2">
        <f>SUMPRODUCT(Inputs!H17:$N17,H$40:$N$40)/G$40</f>
        <v>115.72746794795137</v>
      </c>
      <c r="H34" s="2">
        <f>SUMPRODUCT(Inputs!I17:$N17,I$40:$N$40)/H$40</f>
        <v>101.51384134534892</v>
      </c>
      <c r="I34" s="2">
        <f>SUMPRODUCT(Inputs!J17:$N17,J$40:$N$40)/I$40</f>
        <v>86.58953341261639</v>
      </c>
      <c r="J34" s="2">
        <f>SUMPRODUCT(Inputs!K17:$N17,K$40:$N$40)/J$40</f>
        <v>70.919010083247215</v>
      </c>
      <c r="K34" s="2">
        <f>SUMPRODUCT(Inputs!L17:$N17,L$40:$N$40)/K$40</f>
        <v>54.464960587409571</v>
      </c>
      <c r="L34" s="2">
        <f>SUMPRODUCT(Inputs!M17:$N17,M$40:$N$40)/L$40</f>
        <v>37.188208616780045</v>
      </c>
      <c r="M34" s="2">
        <f>SUMPRODUCT(Inputs!N17:$N17,N$40:$N$40)/M$40</f>
        <v>19.047619047619047</v>
      </c>
      <c r="N34" s="11">
        <v>0</v>
      </c>
    </row>
    <row r="35" spans="3:14" x14ac:dyDescent="0.3">
      <c r="C35" s="98" t="s">
        <v>32</v>
      </c>
      <c r="D35" s="99">
        <f t="shared" ref="D35:N35" si="3">SUM(D33:D34)</f>
        <v>7876.1696277685078</v>
      </c>
      <c r="E35" s="99">
        <f t="shared" si="3"/>
        <v>7249.9781091569339</v>
      </c>
      <c r="F35" s="99">
        <f t="shared" si="3"/>
        <v>6592.4770146147803</v>
      </c>
      <c r="G35" s="99">
        <f t="shared" si="3"/>
        <v>5902.1008653455201</v>
      </c>
      <c r="H35" s="99">
        <f t="shared" si="3"/>
        <v>5177.2059086127956</v>
      </c>
      <c r="I35" s="99">
        <f t="shared" si="3"/>
        <v>4416.0662040434363</v>
      </c>
      <c r="J35" s="99">
        <f t="shared" si="3"/>
        <v>3616.8695142456072</v>
      </c>
      <c r="K35" s="99">
        <f t="shared" si="3"/>
        <v>2777.7129899578881</v>
      </c>
      <c r="L35" s="99">
        <f t="shared" si="3"/>
        <v>1896.5986394557822</v>
      </c>
      <c r="M35" s="99">
        <f t="shared" si="3"/>
        <v>971.42857142857144</v>
      </c>
      <c r="N35" s="104">
        <f t="shared" si="3"/>
        <v>0</v>
      </c>
    </row>
    <row r="36" spans="3:14" x14ac:dyDescent="0.3">
      <c r="C36" s="12" t="s">
        <v>13</v>
      </c>
      <c r="D36" s="15">
        <f>SUM(Inputs!D21:D23)*Inputs!$D$12*(1-Inputs!$D$13)-D34</f>
        <v>1578.3226195253753</v>
      </c>
      <c r="E36" s="15">
        <f>SUM(Inputs!E21:E23)*Inputs!$D$12*(1-Inputs!$D$13)-E34</f>
        <v>1452.8387505016444</v>
      </c>
      <c r="F36" s="15">
        <f>SUM(Inputs!F21:F23)*Inputs!$D$12*(1-Inputs!$D$13)-F34</f>
        <v>1321.0806880267266</v>
      </c>
      <c r="G36" s="15">
        <f>SUM(Inputs!G21:G23)*Inputs!$D$12*(1-Inputs!$D$13)-G34</f>
        <v>1182.7347224280629</v>
      </c>
      <c r="H36" s="15">
        <f>SUM(Inputs!H21:H23)*Inputs!$D$12*(1-Inputs!$D$13)-H34</f>
        <v>1037.4714585494662</v>
      </c>
      <c r="I36" s="15">
        <f>SUM(Inputs!I21:I23)*Inputs!$D$12*(1-Inputs!$D$13)-I34</f>
        <v>884.94503147693968</v>
      </c>
      <c r="J36" s="15">
        <f>SUM(Inputs!J21:J23)*Inputs!$D$12*(1-Inputs!$D$13)-J34</f>
        <v>724.79228305078618</v>
      </c>
      <c r="K36" s="15">
        <f>SUM(Inputs!K21:K23)*Inputs!$D$12*(1-Inputs!$D$13)-K34</f>
        <v>556.63189720332571</v>
      </c>
      <c r="L36" s="15">
        <f>SUM(Inputs!L21:L23)*Inputs!$D$12*(1-Inputs!$D$13)-L34</f>
        <v>380.06349206349199</v>
      </c>
      <c r="M36" s="15">
        <f>SUM(Inputs!M21:M23)*Inputs!$D$12*(1-Inputs!$D$13)-M34</f>
        <v>194.66666666666666</v>
      </c>
      <c r="N36" s="16">
        <f>SUM(Inputs!N21:N23)*Inputs!$D$12*(1-Inputs!$D$13)-N34</f>
        <v>0</v>
      </c>
    </row>
    <row r="37" spans="3:14" x14ac:dyDescent="0.3">
      <c r="C37" s="1" t="s">
        <v>6</v>
      </c>
      <c r="D37" s="64">
        <f>Inputs!$D$10</f>
        <v>0.12</v>
      </c>
      <c r="E37" s="64">
        <f>Inputs!$D$10</f>
        <v>0.12</v>
      </c>
      <c r="F37" s="64">
        <f>Inputs!$D$10</f>
        <v>0.12</v>
      </c>
      <c r="G37" s="64">
        <f>Inputs!$D$10</f>
        <v>0.12</v>
      </c>
      <c r="H37" s="64">
        <f>Inputs!$D$10</f>
        <v>0.12</v>
      </c>
      <c r="I37" s="64">
        <f>Inputs!$D$10</f>
        <v>0.12</v>
      </c>
      <c r="J37" s="64">
        <f>Inputs!$D$10</f>
        <v>0.12</v>
      </c>
      <c r="K37" s="64">
        <f>Inputs!$D$10</f>
        <v>0.12</v>
      </c>
      <c r="L37" s="64">
        <f>Inputs!$D$10</f>
        <v>0.12</v>
      </c>
      <c r="M37" s="64">
        <f>Inputs!$D$10</f>
        <v>0.12</v>
      </c>
      <c r="N37" s="105">
        <f>Inputs!$D$10</f>
        <v>0.12</v>
      </c>
    </row>
    <row r="38" spans="3:14" ht="15" thickBot="1" x14ac:dyDescent="0.35">
      <c r="C38" s="5" t="s">
        <v>1</v>
      </c>
      <c r="D38" s="63">
        <f>D37-Inputs!D27</f>
        <v>7.9999999999999988E-2</v>
      </c>
      <c r="E38" s="17">
        <f>E37-Inputs!E27</f>
        <v>7.9999999999999988E-2</v>
      </c>
      <c r="F38" s="17">
        <f>F37-Inputs!F27</f>
        <v>7.9999999999999988E-2</v>
      </c>
      <c r="G38" s="17">
        <f>G37-Inputs!G27</f>
        <v>7.9999999999999988E-2</v>
      </c>
      <c r="H38" s="17">
        <f>H37-Inputs!H27</f>
        <v>7.9999999999999988E-2</v>
      </c>
      <c r="I38" s="17">
        <f>I37-Inputs!I27</f>
        <v>7.9999999999999988E-2</v>
      </c>
      <c r="J38" s="17">
        <f>J37-Inputs!J27</f>
        <v>7.9999999999999988E-2</v>
      </c>
      <c r="K38" s="17">
        <f>K37-Inputs!K27</f>
        <v>7.9999999999999988E-2</v>
      </c>
      <c r="L38" s="17">
        <f>L37-Inputs!L27</f>
        <v>7.9999999999999988E-2</v>
      </c>
      <c r="M38" s="17">
        <f>M37-Inputs!M27</f>
        <v>7.9999999999999988E-2</v>
      </c>
      <c r="N38" s="18">
        <f>N37-Inputs!N27</f>
        <v>7.9999999999999988E-2</v>
      </c>
    </row>
    <row r="39" spans="3:14" x14ac:dyDescent="0.3">
      <c r="C39" s="8" t="s">
        <v>22</v>
      </c>
      <c r="D39" s="32">
        <f>(1+D37)^-Inputs!D15</f>
        <v>1</v>
      </c>
      <c r="E39" s="32">
        <f t="shared" ref="E39:N39" si="4">(1+E37)^-E32</f>
        <v>0.89285714285714279</v>
      </c>
      <c r="F39" s="32">
        <f t="shared" si="4"/>
        <v>0.79719387755102034</v>
      </c>
      <c r="G39" s="32">
        <f t="shared" si="4"/>
        <v>0.71178024781341087</v>
      </c>
      <c r="H39" s="32">
        <f t="shared" si="4"/>
        <v>0.63551807840483121</v>
      </c>
      <c r="I39" s="32">
        <f t="shared" si="4"/>
        <v>0.56742685571859919</v>
      </c>
      <c r="J39" s="32">
        <f t="shared" si="4"/>
        <v>0.50663112117732068</v>
      </c>
      <c r="K39" s="32">
        <f t="shared" si="4"/>
        <v>0.45234921533689343</v>
      </c>
      <c r="L39" s="32">
        <f t="shared" si="4"/>
        <v>0.4038832279793691</v>
      </c>
      <c r="M39" s="32">
        <f t="shared" si="4"/>
        <v>0.36061002498157957</v>
      </c>
      <c r="N39" s="33">
        <f t="shared" si="4"/>
        <v>0.32197323659069599</v>
      </c>
    </row>
    <row r="40" spans="3:14" x14ac:dyDescent="0.3">
      <c r="C40" s="1" t="s">
        <v>23</v>
      </c>
      <c r="D40" s="34">
        <f>(1+Inputs!D$25)^-Inputs!D15</f>
        <v>1</v>
      </c>
      <c r="E40" s="34">
        <f>(1+Inputs!E$25)^-E32</f>
        <v>0.95238095238095233</v>
      </c>
      <c r="F40" s="34">
        <f>(1+Inputs!F$25)^-F32</f>
        <v>0.90702947845804982</v>
      </c>
      <c r="G40" s="34">
        <f>(1+Inputs!G$25)^-G32</f>
        <v>0.86383759853147601</v>
      </c>
      <c r="H40" s="34">
        <f>(1+Inputs!H$25)^-H32</f>
        <v>0.82270247479188197</v>
      </c>
      <c r="I40" s="34">
        <f>(1+Inputs!I$25)^-I32</f>
        <v>0.78352616646845896</v>
      </c>
      <c r="J40" s="34">
        <f>(1+Inputs!J$25)^-J32</f>
        <v>0.74621539663662761</v>
      </c>
      <c r="K40" s="34">
        <f>(1+Inputs!K$25)^-K32</f>
        <v>0.71068133013012147</v>
      </c>
      <c r="L40" s="34">
        <f>(1+Inputs!L$25)^-L32</f>
        <v>0.67683936202868722</v>
      </c>
      <c r="M40" s="34">
        <f>(1+Inputs!M$25)^-M32</f>
        <v>0.64460891621779726</v>
      </c>
      <c r="N40" s="35">
        <f>(1+Inputs!N$25)^-N32</f>
        <v>0.61391325354075932</v>
      </c>
    </row>
    <row r="41" spans="3:14" ht="15" thickBot="1" x14ac:dyDescent="0.35">
      <c r="C41" s="5" t="s">
        <v>24</v>
      </c>
      <c r="D41" s="36">
        <f>(1+Inputs!D$25)^-Inputs!D15</f>
        <v>1</v>
      </c>
      <c r="E41" s="36">
        <f>(1+Inputs!E$25+Inputs!$E$26)^-E32</f>
        <v>0.95011876484560576</v>
      </c>
      <c r="F41" s="36">
        <f>(1+Inputs!F$25+Inputs!$E$26)^-F32</f>
        <v>0.90272566731173942</v>
      </c>
      <c r="G41" s="36">
        <f>(1+Inputs!G$25+Inputs!$E$26)^-G32</f>
        <v>0.85769659602065507</v>
      </c>
      <c r="H41" s="36">
        <f>(1+Inputs!H$25+Inputs!$E$26)^-H32</f>
        <v>0.81491363042342524</v>
      </c>
      <c r="I41" s="36">
        <f>(1+Inputs!I$25+Inputs!$E$26)^-I32</f>
        <v>0.77426473199375323</v>
      </c>
      <c r="J41" s="36">
        <f>(1+Inputs!J$25+Inputs!$E$26)^-J32</f>
        <v>0.73564345082541871</v>
      </c>
      <c r="K41" s="36">
        <f>(1+Inputs!K$25+Inputs!$E$26)^-K32</f>
        <v>0.69894864686500591</v>
      </c>
      <c r="L41" s="36">
        <f>(1+Inputs!L$25+Inputs!$E$26)^-L32</f>
        <v>0.66408422504988684</v>
      </c>
      <c r="M41" s="36">
        <f>(1+Inputs!M$25+Inputs!$E$26)^-M32</f>
        <v>0.63095888365784969</v>
      </c>
      <c r="N41" s="37">
        <f>(1+Inputs!N$25+Inputs!$E$26)^-N32</f>
        <v>0.59948587520935848</v>
      </c>
    </row>
    <row r="42" spans="3:14" x14ac:dyDescent="0.3">
      <c r="D42" s="7"/>
      <c r="E42" s="7"/>
      <c r="F42" s="7"/>
      <c r="G42" s="7"/>
      <c r="H42" s="7"/>
      <c r="I42" s="7"/>
      <c r="J42" s="2"/>
      <c r="K42" s="7"/>
      <c r="L42" s="7"/>
      <c r="M42" s="7"/>
      <c r="N42" s="7"/>
    </row>
  </sheetData>
  <mergeCells count="2">
    <mergeCell ref="C3:D3"/>
    <mergeCell ref="C9:D9"/>
  </mergeCells>
  <pageMargins left="0.7" right="0.7" top="0.75" bottom="0.75" header="0.3" footer="0.3"/>
  <pageSetup orientation="portrait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971D-4E4F-4B04-A8D8-7EFFF0F8284B}">
  <dimension ref="A1:AJ70"/>
  <sheetViews>
    <sheetView view="pageLayout" topLeftCell="O1" zoomScaleNormal="100" workbookViewId="0">
      <selection activeCell="Q1" sqref="Q1"/>
    </sheetView>
  </sheetViews>
  <sheetFormatPr defaultColWidth="9.21875" defaultRowHeight="14.4" outlineLevelRow="1" x14ac:dyDescent="0.3"/>
  <cols>
    <col min="1" max="1" width="3.77734375" style="6" customWidth="1"/>
    <col min="2" max="2" width="3.44140625" style="20" customWidth="1"/>
    <col min="3" max="3" width="61.44140625" style="6" bestFit="1" customWidth="1"/>
    <col min="4" max="14" width="9.77734375" style="6" customWidth="1"/>
    <col min="15" max="15" width="27" style="6" customWidth="1"/>
    <col min="16" max="16" width="9.21875" style="6"/>
    <col min="17" max="17" width="43.5546875" style="6" bestFit="1" customWidth="1"/>
    <col min="18" max="18" width="8.77734375" style="6" bestFit="1" customWidth="1"/>
    <col min="19" max="19" width="8.21875" style="6" bestFit="1" customWidth="1"/>
    <col min="20" max="20" width="8" style="6" bestFit="1" customWidth="1"/>
    <col min="21" max="21" width="8.77734375" style="6" bestFit="1" customWidth="1"/>
    <col min="22" max="16384" width="9.21875" style="6"/>
  </cols>
  <sheetData>
    <row r="1" spans="1:32" ht="23.4" x14ac:dyDescent="0.45">
      <c r="A1" s="19" t="s">
        <v>4</v>
      </c>
    </row>
    <row r="2" spans="1:32" x14ac:dyDescent="0.3">
      <c r="D2" s="22"/>
    </row>
    <row r="3" spans="1:32" ht="16.2" thickBot="1" x14ac:dyDescent="0.35">
      <c r="C3" s="21" t="s">
        <v>3</v>
      </c>
      <c r="D3" s="7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32" ht="16.2" thickBot="1" x14ac:dyDescent="0.35">
      <c r="B4" s="21"/>
      <c r="C4" s="49" t="s">
        <v>3</v>
      </c>
      <c r="D4" s="50" t="s">
        <v>29</v>
      </c>
      <c r="E4" s="49">
        <f>Inputs!E15</f>
        <v>1</v>
      </c>
      <c r="F4" s="51">
        <f>Inputs!F15</f>
        <v>2</v>
      </c>
      <c r="G4" s="51">
        <f>Inputs!G15</f>
        <v>3</v>
      </c>
      <c r="H4" s="51">
        <f>Inputs!H15</f>
        <v>4</v>
      </c>
      <c r="I4" s="51">
        <f>Inputs!I15</f>
        <v>5</v>
      </c>
      <c r="J4" s="51">
        <f>Inputs!J15</f>
        <v>6</v>
      </c>
      <c r="K4" s="51">
        <f>Inputs!K15</f>
        <v>7</v>
      </c>
      <c r="L4" s="51">
        <f>Inputs!L15</f>
        <v>8</v>
      </c>
      <c r="M4" s="51">
        <f>Inputs!M15</f>
        <v>9</v>
      </c>
      <c r="N4" s="50">
        <f>Inputs!N15</f>
        <v>10</v>
      </c>
      <c r="O4" s="76" t="s">
        <v>53</v>
      </c>
    </row>
    <row r="5" spans="1:32" ht="15.6" x14ac:dyDescent="0.3">
      <c r="B5" s="21"/>
      <c r="C5" s="41" t="s">
        <v>89</v>
      </c>
      <c r="D5" s="42"/>
      <c r="E5" s="55">
        <f>Inputs!E16+Inputs!E17</f>
        <v>1020</v>
      </c>
      <c r="F5" s="54">
        <f>Inputs!F16+Inputs!F17</f>
        <v>1020</v>
      </c>
      <c r="G5" s="54">
        <f>Inputs!G16+Inputs!G17</f>
        <v>1020</v>
      </c>
      <c r="H5" s="54">
        <f>Inputs!H16+Inputs!H17</f>
        <v>1020</v>
      </c>
      <c r="I5" s="54">
        <f>Inputs!I16+Inputs!I17</f>
        <v>1020</v>
      </c>
      <c r="J5" s="54">
        <f>Inputs!J16+Inputs!J17</f>
        <v>1020</v>
      </c>
      <c r="K5" s="54">
        <f>Inputs!K16+Inputs!K17</f>
        <v>1020</v>
      </c>
      <c r="L5" s="54">
        <f>Inputs!L16+Inputs!L17</f>
        <v>1020</v>
      </c>
      <c r="M5" s="54">
        <f>Inputs!M16+Inputs!M17</f>
        <v>1020</v>
      </c>
      <c r="N5" s="56">
        <f>Inputs!N16+Inputs!N17</f>
        <v>1020</v>
      </c>
      <c r="O5" s="76"/>
    </row>
    <row r="6" spans="1:32" ht="13.05" customHeight="1" outlineLevel="1" x14ac:dyDescent="0.3">
      <c r="B6" s="21"/>
      <c r="C6" s="43" t="s">
        <v>26</v>
      </c>
      <c r="D6" s="56"/>
      <c r="E6" s="81">
        <f>-(Inputs!D33+Inputs!D34)*Inputs!D26</f>
        <v>-19.690424069421269</v>
      </c>
      <c r="F6" s="82">
        <f>-(Inputs!E33+Inputs!E34)*Inputs!E26</f>
        <v>-18.124945272892337</v>
      </c>
      <c r="G6" s="82">
        <f>-(Inputs!F33+Inputs!F34)*Inputs!F26</f>
        <v>-16.481192536536952</v>
      </c>
      <c r="H6" s="82">
        <f>-(Inputs!G33+Inputs!G34)*Inputs!G26</f>
        <v>-14.755252163363801</v>
      </c>
      <c r="I6" s="82">
        <f>-(Inputs!H33+Inputs!H34)*Inputs!H26</f>
        <v>-12.94301477153199</v>
      </c>
      <c r="J6" s="82">
        <f>-(Inputs!I33+Inputs!I34)*Inputs!I26</f>
        <v>-11.040165510108592</v>
      </c>
      <c r="K6" s="82">
        <f>-(Inputs!J33+Inputs!J34)*Inputs!J26</f>
        <v>-9.0421737856140183</v>
      </c>
      <c r="L6" s="82">
        <f>-(Inputs!K33+Inputs!K34)*Inputs!K26</f>
        <v>-6.9442824748947203</v>
      </c>
      <c r="M6" s="82">
        <f>-(Inputs!L33+Inputs!L34)*Inputs!L26</f>
        <v>-4.7414965986394559</v>
      </c>
      <c r="N6" s="83">
        <f>-(Inputs!M33+Inputs!M34)*Inputs!M26</f>
        <v>-2.4285714285714288</v>
      </c>
      <c r="O6" s="76" t="s">
        <v>56</v>
      </c>
      <c r="P6" s="76" t="s">
        <v>86</v>
      </c>
    </row>
    <row r="7" spans="1:32" ht="15.6" x14ac:dyDescent="0.3">
      <c r="B7" s="21"/>
      <c r="C7" s="43" t="s">
        <v>25</v>
      </c>
      <c r="D7" s="56"/>
      <c r="E7" s="55">
        <f>Inputs!E18</f>
        <v>10</v>
      </c>
      <c r="F7" s="54">
        <f>Inputs!F18</f>
        <v>10</v>
      </c>
      <c r="G7" s="54">
        <f>Inputs!G18</f>
        <v>10</v>
      </c>
      <c r="H7" s="54">
        <f>Inputs!H18</f>
        <v>10</v>
      </c>
      <c r="I7" s="54">
        <f>Inputs!I18</f>
        <v>10</v>
      </c>
      <c r="J7" s="54">
        <f>Inputs!J18</f>
        <v>10</v>
      </c>
      <c r="K7" s="54">
        <f>Inputs!K18</f>
        <v>10</v>
      </c>
      <c r="L7" s="54">
        <f>Inputs!L18</f>
        <v>10</v>
      </c>
      <c r="M7" s="54">
        <f>Inputs!M18</f>
        <v>10</v>
      </c>
      <c r="N7" s="56">
        <f>Inputs!N18</f>
        <v>10</v>
      </c>
      <c r="O7" s="76" t="s">
        <v>52</v>
      </c>
      <c r="P7" s="22"/>
    </row>
    <row r="8" spans="1:32" ht="15.6" x14ac:dyDescent="0.3">
      <c r="B8" s="21"/>
      <c r="C8" s="43" t="s">
        <v>34</v>
      </c>
      <c r="D8" s="56"/>
      <c r="E8" s="55">
        <f>Inputs!E19</f>
        <v>0</v>
      </c>
      <c r="F8" s="54">
        <f>Inputs!F19</f>
        <v>0</v>
      </c>
      <c r="G8" s="54">
        <f>Inputs!G19</f>
        <v>0</v>
      </c>
      <c r="H8" s="54">
        <f>Inputs!H19</f>
        <v>0</v>
      </c>
      <c r="I8" s="54">
        <f>Inputs!I19</f>
        <v>0</v>
      </c>
      <c r="J8" s="54">
        <f>Inputs!J19</f>
        <v>0</v>
      </c>
      <c r="K8" s="54">
        <f>Inputs!K19</f>
        <v>0</v>
      </c>
      <c r="L8" s="54">
        <f>Inputs!L19</f>
        <v>0</v>
      </c>
      <c r="M8" s="54">
        <f>Inputs!M19</f>
        <v>0</v>
      </c>
      <c r="N8" s="56">
        <f>Inputs!N19</f>
        <v>0</v>
      </c>
      <c r="O8" s="77">
        <v>4.0999999999999996</v>
      </c>
      <c r="P8" s="22"/>
    </row>
    <row r="9" spans="1:32" ht="16.2" thickBot="1" x14ac:dyDescent="0.35">
      <c r="B9" s="21"/>
      <c r="C9" s="59" t="s">
        <v>83</v>
      </c>
      <c r="D9" s="60">
        <f>SUMPRODUCT(E5:$N5,Inputs!E$41:$N$41)/Inputs!D$41+SUMPRODUCT(E7:$N7,Inputs!E$41:$N$41)/Inputs!D$41+SUMPRODUCT(E8:$N8,Inputs!E$41:$N$41)/Inputs!D$41</f>
        <v>7857.7056863687785</v>
      </c>
      <c r="E9" s="100">
        <f>SUMPRODUCT(F5:$N5,Inputs!F$41:$N$41)/Inputs!E$41+SUMPRODUCT(F7:$N7,Inputs!F$41:$N$41)/Inputs!E$41+SUMPRODUCT(F8:$N8,Inputs!F$41:$N$41)/Inputs!E$41</f>
        <v>7240.2352349031398</v>
      </c>
      <c r="F9" s="101">
        <f>SUMPRODUCT(G5:$N5,Inputs!G$41:$N$41)/Inputs!F$41+SUMPRODUCT(G7:$N7,Inputs!G$41:$N$41)/Inputs!F$41+SUMPRODUCT(G8:$N8,Inputs!G$41:$N$41)/Inputs!F$41</f>
        <v>6590.3475847355558</v>
      </c>
      <c r="G9" s="101">
        <f>SUMPRODUCT(H5:$N5,Inputs!H$41:$N$41)/Inputs!G$41+SUMPRODUCT(H7:$N7,Inputs!H$41:$N$41)/Inputs!G$41+SUMPRODUCT(H8:$N8,Inputs!H$41:$N$41)/Inputs!G$41</f>
        <v>5906.3408329341701</v>
      </c>
      <c r="H9" s="101">
        <f>SUMPRODUCT(I5:$N5,Inputs!I$41:$N$41)/Inputs!H$41+SUMPRODUCT(I7:$N7,Inputs!I$41:$N$41)/Inputs!H$41+SUMPRODUCT(I8:$N8,Inputs!I$41:$N$41)/Inputs!H$41</f>
        <v>5186.4237266632153</v>
      </c>
      <c r="I9" s="101">
        <f>SUMPRODUCT(J5:$N5,Inputs!J$41:$N$41)/Inputs!I$41+SUMPRODUCT(J7:$N7,Inputs!J$41:$N$41)/Inputs!I$41+SUMPRODUCT(J8:$N8,Inputs!J$41:$N$41)/Inputs!I$41</f>
        <v>4428.7109723130334</v>
      </c>
      <c r="J9" s="101">
        <f>SUMPRODUCT(K5:$N5,Inputs!K$41:$N$41)/Inputs!J$41+SUMPRODUCT(K7:$N7,Inputs!K$41:$N$41)/Inputs!J$41+SUMPRODUCT(K8:$N8,Inputs!K$41:$N$41)/Inputs!J$41</f>
        <v>3631.218298359468</v>
      </c>
      <c r="K9" s="101">
        <f>SUMPRODUCT(L5:$N5,Inputs!L$41:$N$41)/Inputs!K$41+SUMPRODUCT(L7:$N7,Inputs!L$41:$N$41)/Inputs!K$41+SUMPRODUCT(L8:$N8,Inputs!L$41:$N$41)/Inputs!K$41</f>
        <v>2791.8572590233402</v>
      </c>
      <c r="L9" s="101">
        <f>SUMPRODUCT(M5:$N5,Inputs!M$41:$N$41)/Inputs!L$41+SUMPRODUCT(M7:$N7,Inputs!M$41:$N$41)/Inputs!L$41+SUMPRODUCT(M8:$N8,Inputs!M$41:$N$41)/Inputs!L$41</f>
        <v>1908.4297651220654</v>
      </c>
      <c r="M9" s="101">
        <f>SUMPRODUCT(N5:$N5,Inputs!N$41:$N$41)/Inputs!M$41+SUMPRODUCT(N7:$N7,Inputs!N$41:$N$41)/Inputs!M$41+SUMPRODUCT(N8:$N8,Inputs!N$41:$N$41)/Inputs!M$41</f>
        <v>978.62232779097405</v>
      </c>
      <c r="N9" s="42">
        <v>0</v>
      </c>
      <c r="O9" s="76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2" ht="15.6" x14ac:dyDescent="0.3">
      <c r="B10" s="21"/>
      <c r="C10" s="43" t="s">
        <v>66</v>
      </c>
      <c r="D10" s="56">
        <f>MAX(0,SUMPRODUCT(E10:$N10,Inputs!E$39:$N$39))</f>
        <v>483.90518002079398</v>
      </c>
      <c r="E10" s="110">
        <f>Inputs!D36*Inputs!D38</f>
        <v>126.26580956203</v>
      </c>
      <c r="F10" s="109">
        <f>Inputs!E36*Inputs!E38</f>
        <v>116.22710004013153</v>
      </c>
      <c r="G10" s="109">
        <f>Inputs!F36*Inputs!F38</f>
        <v>105.68645504213812</v>
      </c>
      <c r="H10" s="109">
        <f>Inputs!G36*Inputs!G38</f>
        <v>94.61877779424502</v>
      </c>
      <c r="I10" s="109">
        <f>Inputs!H36*Inputs!H38</f>
        <v>82.997716683957279</v>
      </c>
      <c r="J10" s="109">
        <f>Inputs!I36*Inputs!I38</f>
        <v>70.795602518155164</v>
      </c>
      <c r="K10" s="109">
        <f>Inputs!J36*Inputs!J38</f>
        <v>57.983382644062885</v>
      </c>
      <c r="L10" s="109">
        <f>Inputs!K36*Inputs!K38</f>
        <v>44.530551776266051</v>
      </c>
      <c r="M10" s="109">
        <f>Inputs!L36*Inputs!L38</f>
        <v>30.405079365079356</v>
      </c>
      <c r="N10" s="107">
        <f>Inputs!M36*Inputs!M38</f>
        <v>15.573333333333331</v>
      </c>
      <c r="O10" s="76" t="s">
        <v>63</v>
      </c>
    </row>
    <row r="11" spans="1:32" ht="15.6" x14ac:dyDescent="0.3">
      <c r="B11" s="21"/>
      <c r="C11" s="43" t="s">
        <v>62</v>
      </c>
      <c r="D11" s="56">
        <f>SUMPRODUCT(E11:$N11,Inputs!E$39:$N$39)</f>
        <v>-113.00446056821727</v>
      </c>
      <c r="E11" s="57">
        <f>-(Inputs!D34*(1+Inputs!D25)-Inputs!E34)</f>
        <v>-20</v>
      </c>
      <c r="F11" s="58">
        <f>-(Inputs!E34*(1+Inputs!E25)-Inputs!F34)</f>
        <v>-20.000000000000028</v>
      </c>
      <c r="G11" s="58">
        <f>-(Inputs!F34*(1+Inputs!F25)-Inputs!G34)</f>
        <v>-19.999999999999972</v>
      </c>
      <c r="H11" s="58">
        <f>-(Inputs!G34*(1+Inputs!G25)-Inputs!H34)</f>
        <v>-20.000000000000014</v>
      </c>
      <c r="I11" s="58">
        <f>-(Inputs!H34*(1+Inputs!H25)-Inputs!I34)</f>
        <v>-19.999999999999986</v>
      </c>
      <c r="J11" s="58">
        <f>-(Inputs!I34*(1+Inputs!I25)-Inputs!J34)</f>
        <v>-20</v>
      </c>
      <c r="K11" s="58">
        <f>-(Inputs!J34*(1+Inputs!J25)-Inputs!K34)</f>
        <v>-20.000000000000007</v>
      </c>
      <c r="L11" s="58">
        <f>-(Inputs!K34*(1+Inputs!K25)-Inputs!L34)</f>
        <v>-20.000000000000007</v>
      </c>
      <c r="M11" s="58">
        <f>-(Inputs!L34*(1+Inputs!L25)-Inputs!M34)</f>
        <v>-20.000000000000004</v>
      </c>
      <c r="N11" s="102">
        <f>-(Inputs!M34*(1+Inputs!M25)-Inputs!N34)</f>
        <v>-20</v>
      </c>
      <c r="O11" s="76"/>
    </row>
    <row r="12" spans="1:32" ht="15.6" outlineLevel="1" x14ac:dyDescent="0.3">
      <c r="B12" s="21"/>
      <c r="C12" s="43" t="s">
        <v>27</v>
      </c>
      <c r="D12" s="56">
        <f>SUMPRODUCT(E12:$N12,Inputs!E$39:$N$39)</f>
        <v>0</v>
      </c>
      <c r="E12" s="57">
        <f>Inputs!E20</f>
        <v>0</v>
      </c>
      <c r="F12" s="54">
        <f>Inputs!F20</f>
        <v>0</v>
      </c>
      <c r="G12" s="54">
        <f>Inputs!G20</f>
        <v>0</v>
      </c>
      <c r="H12" s="54">
        <f>Inputs!H20</f>
        <v>0</v>
      </c>
      <c r="I12" s="54">
        <f>Inputs!I20</f>
        <v>0</v>
      </c>
      <c r="J12" s="58">
        <f>Inputs!J20</f>
        <v>0</v>
      </c>
      <c r="K12" s="54">
        <f>Inputs!K20</f>
        <v>0</v>
      </c>
      <c r="L12" s="54">
        <f>Inputs!L20</f>
        <v>0</v>
      </c>
      <c r="M12" s="54">
        <f>Inputs!M20</f>
        <v>0</v>
      </c>
      <c r="N12" s="56">
        <f>Inputs!N20</f>
        <v>0</v>
      </c>
      <c r="O12" s="76" t="s">
        <v>57</v>
      </c>
    </row>
    <row r="13" spans="1:32" ht="15.6" x14ac:dyDescent="0.3">
      <c r="B13" s="21"/>
      <c r="C13" s="59" t="s">
        <v>84</v>
      </c>
      <c r="D13" s="60">
        <f>SUMPRODUCT(E13:$N13,Inputs!E$39:$N$39)</f>
        <v>370.90071945257665</v>
      </c>
      <c r="E13" s="139">
        <f>SUM(E10:E12)</f>
        <v>106.26580956203</v>
      </c>
      <c r="F13" s="140">
        <f t="shared" ref="F13:N13" si="0">SUM(F10:F12)</f>
        <v>96.227100040131504</v>
      </c>
      <c r="G13" s="140">
        <f t="shared" si="0"/>
        <v>85.686455042138149</v>
      </c>
      <c r="H13" s="140">
        <f t="shared" si="0"/>
        <v>74.618777794245005</v>
      </c>
      <c r="I13" s="140">
        <f t="shared" si="0"/>
        <v>62.997716683957293</v>
      </c>
      <c r="J13" s="140">
        <f t="shared" si="0"/>
        <v>50.795602518155164</v>
      </c>
      <c r="K13" s="140">
        <f t="shared" si="0"/>
        <v>37.983382644062878</v>
      </c>
      <c r="L13" s="140">
        <f t="shared" si="0"/>
        <v>24.530551776266044</v>
      </c>
      <c r="M13" s="140">
        <f t="shared" si="0"/>
        <v>10.405079365079352</v>
      </c>
      <c r="N13" s="141">
        <f t="shared" si="0"/>
        <v>-4.4266666666666694</v>
      </c>
      <c r="O13" s="76" t="s">
        <v>55</v>
      </c>
    </row>
    <row r="14" spans="1:32" ht="16.2" thickBot="1" x14ac:dyDescent="0.35">
      <c r="B14" s="21"/>
      <c r="C14" s="46" t="s">
        <v>31</v>
      </c>
      <c r="D14" s="47">
        <f t="shared" ref="D14:N14" si="1">D9+D13</f>
        <v>8228.606405821356</v>
      </c>
      <c r="E14" s="61">
        <f t="shared" si="1"/>
        <v>7346.5010444651698</v>
      </c>
      <c r="F14" s="62">
        <f t="shared" si="1"/>
        <v>6686.5746847756873</v>
      </c>
      <c r="G14" s="62">
        <f t="shared" si="1"/>
        <v>5992.0272879763079</v>
      </c>
      <c r="H14" s="62">
        <f t="shared" si="1"/>
        <v>5261.0425044574604</v>
      </c>
      <c r="I14" s="62">
        <f t="shared" si="1"/>
        <v>4491.7086889969905</v>
      </c>
      <c r="J14" s="62">
        <f t="shared" si="1"/>
        <v>3682.0139008776232</v>
      </c>
      <c r="K14" s="62">
        <f t="shared" si="1"/>
        <v>2829.8406416674029</v>
      </c>
      <c r="L14" s="62">
        <f t="shared" si="1"/>
        <v>1932.9603168983315</v>
      </c>
      <c r="M14" s="62">
        <f t="shared" si="1"/>
        <v>989.02740715605341</v>
      </c>
      <c r="N14" s="47">
        <f t="shared" si="1"/>
        <v>-4.4266666666666694</v>
      </c>
      <c r="O14" s="76"/>
    </row>
    <row r="15" spans="1:32" ht="15" thickBot="1" x14ac:dyDescent="0.35">
      <c r="B15" s="6"/>
      <c r="C15" s="44" t="s">
        <v>85</v>
      </c>
      <c r="D15" s="45">
        <f>D14-Inputs!D35</f>
        <v>352.43677805284824</v>
      </c>
      <c r="E15" s="84">
        <f t="shared" ref="E15:N15" si="2">E14-E9</f>
        <v>106.26580956202997</v>
      </c>
      <c r="F15" s="84">
        <f t="shared" si="2"/>
        <v>96.227100040131518</v>
      </c>
      <c r="G15" s="84">
        <f t="shared" si="2"/>
        <v>85.686455042137823</v>
      </c>
      <c r="H15" s="84">
        <f t="shared" si="2"/>
        <v>74.618777794245034</v>
      </c>
      <c r="I15" s="84">
        <f t="shared" si="2"/>
        <v>62.997716683957151</v>
      </c>
      <c r="J15" s="85">
        <f t="shared" si="2"/>
        <v>50.795602518155192</v>
      </c>
      <c r="K15" s="84">
        <f t="shared" si="2"/>
        <v>37.983382644062658</v>
      </c>
      <c r="L15" s="84">
        <f t="shared" si="2"/>
        <v>24.530551776266066</v>
      </c>
      <c r="M15" s="84">
        <f t="shared" si="2"/>
        <v>10.405079365079359</v>
      </c>
      <c r="N15" s="84">
        <f t="shared" si="2"/>
        <v>-4.4266666666666694</v>
      </c>
      <c r="O15" s="76"/>
    </row>
    <row r="16" spans="1:32" ht="9" customHeight="1" x14ac:dyDescent="0.3">
      <c r="B16" s="21"/>
      <c r="D16" s="7"/>
      <c r="E16" s="7"/>
      <c r="F16" s="7"/>
      <c r="G16" s="7"/>
      <c r="H16" s="7"/>
      <c r="I16" s="7"/>
      <c r="J16" s="2"/>
      <c r="K16" s="7"/>
      <c r="L16" s="7"/>
      <c r="M16" s="7"/>
      <c r="N16" s="7"/>
    </row>
    <row r="17" spans="2:29" ht="15.6" x14ac:dyDescent="0.3">
      <c r="B17" s="2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29" ht="16.2" thickBot="1" x14ac:dyDescent="0.35">
      <c r="C18" s="21" t="s">
        <v>100</v>
      </c>
      <c r="E18" s="150" t="s">
        <v>30</v>
      </c>
      <c r="F18" s="150"/>
      <c r="G18" s="150"/>
      <c r="H18" s="150"/>
      <c r="I18" s="150"/>
      <c r="J18" s="150"/>
      <c r="K18" s="150"/>
      <c r="L18" s="150"/>
      <c r="M18" s="150"/>
      <c r="N18" s="150"/>
    </row>
    <row r="19" spans="2:29" ht="16.2" thickBot="1" x14ac:dyDescent="0.35">
      <c r="B19" s="21"/>
      <c r="C19" s="52" t="s">
        <v>10</v>
      </c>
      <c r="D19" s="65" t="s">
        <v>29</v>
      </c>
      <c r="E19" s="53">
        <f>Inputs!E15</f>
        <v>1</v>
      </c>
      <c r="F19" s="53">
        <f>Inputs!F15</f>
        <v>2</v>
      </c>
      <c r="G19" s="53">
        <f>Inputs!G15</f>
        <v>3</v>
      </c>
      <c r="H19" s="53">
        <f>Inputs!H15</f>
        <v>4</v>
      </c>
      <c r="I19" s="53">
        <f>Inputs!I15</f>
        <v>5</v>
      </c>
      <c r="J19" s="53">
        <f>Inputs!J15</f>
        <v>6</v>
      </c>
      <c r="K19" s="53">
        <f>Inputs!K15</f>
        <v>7</v>
      </c>
      <c r="L19" s="53">
        <f>Inputs!L15</f>
        <v>8</v>
      </c>
      <c r="M19" s="53">
        <f>Inputs!M15</f>
        <v>9</v>
      </c>
      <c r="N19" s="65">
        <f>Inputs!N15</f>
        <v>10</v>
      </c>
      <c r="O19" s="76" t="s">
        <v>53</v>
      </c>
    </row>
    <row r="20" spans="2:29" x14ac:dyDescent="0.3">
      <c r="C20" s="8" t="s">
        <v>67</v>
      </c>
      <c r="D20" s="10">
        <f>MAX(0,SUMPRODUCT(E20:$N20,Inputs!E$39:$N$39))</f>
        <v>378.79074757009306</v>
      </c>
      <c r="E20" s="9">
        <f>(Inputs!D21*Inputs!$D$12-Inputs!D34)*Inputs!E$38</f>
        <v>98.838207093565558</v>
      </c>
      <c r="F20" s="9">
        <f>(Inputs!E21*Inputs!$D$12-Inputs!E34)*Inputs!F$38</f>
        <v>90.98011744824386</v>
      </c>
      <c r="G20" s="9">
        <f>(Inputs!F21*Inputs!$D$12-Inputs!F34)*Inputs!G$38</f>
        <v>82.729123320656058</v>
      </c>
      <c r="H20" s="9">
        <f>(Inputs!G21*Inputs!$D$12-Inputs!G34)*Inputs!H$38</f>
        <v>74.065579486688875</v>
      </c>
      <c r="I20" s="9">
        <f>(Inputs!H21*Inputs!$D$12-Inputs!H34)*Inputs!I$38</f>
        <v>64.968858461023302</v>
      </c>
      <c r="J20" s="9">
        <f>(Inputs!I21*Inputs!$D$12-Inputs!I34)*Inputs!J$38</f>
        <v>55.417301384074484</v>
      </c>
      <c r="K20" s="9">
        <f>(Inputs!J21*Inputs!$D$12-Inputs!J34)*Inputs!K$38</f>
        <v>45.388166453278195</v>
      </c>
      <c r="L20" s="9">
        <f>(Inputs!K21*Inputs!$D$12-Inputs!K34)*Inputs!L$38</f>
        <v>34.857574775942119</v>
      </c>
      <c r="M20" s="9">
        <f>(Inputs!L21*Inputs!$D$12-Inputs!L34)*Inputs!M$38</f>
        <v>23.800453514739221</v>
      </c>
      <c r="N20" s="10">
        <f>(Inputs!M21*Inputs!$D$12-Inputs!M34)*Inputs!N$38</f>
        <v>12.190476190476188</v>
      </c>
      <c r="O20" s="76" t="s">
        <v>54</v>
      </c>
    </row>
    <row r="21" spans="2:29" x14ac:dyDescent="0.3">
      <c r="C21" s="1" t="s">
        <v>35</v>
      </c>
      <c r="D21" s="11">
        <f>SUMPRODUCT(E21:$N21,Inputs!E$39:$N$39)</f>
        <v>56.818612135513973</v>
      </c>
      <c r="E21" s="2">
        <f>Inputs!D22*Inputs!$D$12*Inputs!E$38</f>
        <v>14.825731064034835</v>
      </c>
      <c r="F21" s="2">
        <f>Inputs!E22*Inputs!$D$12*Inputs!F$38</f>
        <v>13.64701761723658</v>
      </c>
      <c r="G21" s="2">
        <f>Inputs!F22*Inputs!$D$12*Inputs!G$38</f>
        <v>12.409368498098409</v>
      </c>
      <c r="H21" s="2">
        <f>Inputs!G22*Inputs!$D$12*Inputs!H$38</f>
        <v>11.10983692300333</v>
      </c>
      <c r="I21" s="2">
        <f>Inputs!H22*Inputs!$D$12*Inputs!I$38</f>
        <v>9.7453287691534971</v>
      </c>
      <c r="J21" s="2">
        <f>Inputs!I22*Inputs!$D$12*Inputs!J$38</f>
        <v>8.3125952076111727</v>
      </c>
      <c r="K21" s="2">
        <f>Inputs!J22*Inputs!$D$12*Inputs!K$38</f>
        <v>6.8082249679917304</v>
      </c>
      <c r="L21" s="2">
        <f>Inputs!K22*Inputs!$D$12*Inputs!L$38</f>
        <v>5.228636216391318</v>
      </c>
      <c r="M21" s="2">
        <f>Inputs!L22*Inputs!$D$12*Inputs!M$38</f>
        <v>3.5700680272108838</v>
      </c>
      <c r="N21" s="11">
        <f>Inputs!M22*Inputs!$D$12*Inputs!N$38</f>
        <v>1.8285714285714283</v>
      </c>
      <c r="O21" s="76" t="s">
        <v>55</v>
      </c>
    </row>
    <row r="22" spans="2:29" x14ac:dyDescent="0.3">
      <c r="C22" s="1" t="s">
        <v>44</v>
      </c>
      <c r="D22" s="11">
        <f>SUMPRODUCT(E22:$N22,Inputs!E$39:$N$39)</f>
        <v>142.04653033878489</v>
      </c>
      <c r="E22" s="2">
        <f>Inputs!D23*Inputs!$D$12*Inputs!E$38</f>
        <v>37.064327660087088</v>
      </c>
      <c r="F22" s="2">
        <f>Inputs!E23*Inputs!$D$12*Inputs!F$38</f>
        <v>34.117544043091449</v>
      </c>
      <c r="G22" s="2">
        <f>Inputs!F23*Inputs!$D$12*Inputs!G$38</f>
        <v>31.023421245246023</v>
      </c>
      <c r="H22" s="2">
        <f>Inputs!G23*Inputs!$D$12*Inputs!H$38</f>
        <v>27.774592307508325</v>
      </c>
      <c r="I22" s="2">
        <f>Inputs!H23*Inputs!$D$12*Inputs!I$38</f>
        <v>24.363321922883742</v>
      </c>
      <c r="J22" s="2">
        <f>Inputs!I23*Inputs!$D$12*Inputs!J$38</f>
        <v>20.781488019027929</v>
      </c>
      <c r="K22" s="2">
        <f>Inputs!J23*Inputs!$D$12*Inputs!K$38</f>
        <v>17.020562419979328</v>
      </c>
      <c r="L22" s="2">
        <f>Inputs!K23*Inputs!$D$12*Inputs!L$38</f>
        <v>13.071590540978296</v>
      </c>
      <c r="M22" s="2">
        <f>Inputs!L23*Inputs!$D$12*Inputs!M$38</f>
        <v>8.9251700680272101</v>
      </c>
      <c r="N22" s="11">
        <f>Inputs!M23*Inputs!$D$12*Inputs!N$38</f>
        <v>4.5714285714285712</v>
      </c>
      <c r="O22" s="76" t="s">
        <v>55</v>
      </c>
    </row>
    <row r="23" spans="2:29" x14ac:dyDescent="0.3">
      <c r="C23" s="1" t="s">
        <v>20</v>
      </c>
      <c r="D23" s="11">
        <f>SUMPRODUCT(E23:$N23,Inputs!E$39:$N$39)</f>
        <v>-93.750710023598046</v>
      </c>
      <c r="E23" s="2">
        <f>-SUM(Inputs!D21:D23)*Inputs!$D$12*Inputs!$D$13*Inputs!E$38</f>
        <v>-24.462456255657475</v>
      </c>
      <c r="F23" s="2">
        <f>-SUM(Inputs!E21:E23)*Inputs!$D$12*Inputs!$D$13*Inputs!F$38</f>
        <v>-22.517579068440355</v>
      </c>
      <c r="G23" s="2">
        <f>-SUM(Inputs!F21:F23)*Inputs!$D$12*Inputs!$D$13*Inputs!G$38</f>
        <v>-20.475458021862373</v>
      </c>
      <c r="H23" s="2">
        <f>-SUM(Inputs!G21:G23)*Inputs!$D$12*Inputs!$D$13*Inputs!H$38</f>
        <v>-18.331230922955495</v>
      </c>
      <c r="I23" s="2">
        <f>-SUM(Inputs!H21:H23)*Inputs!$D$12*Inputs!$D$13*Inputs!I$38</f>
        <v>-16.079792469103271</v>
      </c>
      <c r="J23" s="2">
        <f>-SUM(Inputs!I21:I23)*Inputs!$D$12*Inputs!$D$13*Inputs!J$38</f>
        <v>-13.715782092558436</v>
      </c>
      <c r="K23" s="2">
        <f>-SUM(Inputs!J21:J23)*Inputs!$D$12*Inputs!$D$13*Inputs!K$38</f>
        <v>-11.233571197186352</v>
      </c>
      <c r="L23" s="2">
        <f>-SUM(Inputs!K21:K23)*Inputs!$D$12*Inputs!$D$13*Inputs!L$38</f>
        <v>-8.6272497570456732</v>
      </c>
      <c r="M23" s="2">
        <f>-SUM(Inputs!L21:L23)*Inputs!$D$12*Inputs!$D$13*Inputs!M$38</f>
        <v>-5.8906122448979579</v>
      </c>
      <c r="N23" s="11">
        <f>-SUM(Inputs!M21:M23)*Inputs!$D$12*Inputs!$D$13*Inputs!N$38</f>
        <v>-3.017142857142856</v>
      </c>
      <c r="O23" s="76" t="s">
        <v>55</v>
      </c>
    </row>
    <row r="24" spans="2:29" x14ac:dyDescent="0.3">
      <c r="C24" s="1" t="s">
        <v>38</v>
      </c>
      <c r="D24" s="11">
        <f>SUMPRODUCT(E24:$N24,Inputs!E$39:$N$39)</f>
        <v>0</v>
      </c>
      <c r="E24" s="2">
        <f>Inputs!E20</f>
        <v>0</v>
      </c>
      <c r="F24" s="2">
        <f>Inputs!F20</f>
        <v>0</v>
      </c>
      <c r="G24" s="2">
        <f>Inputs!G20</f>
        <v>0</v>
      </c>
      <c r="H24" s="2">
        <f>Inputs!H20</f>
        <v>0</v>
      </c>
      <c r="I24" s="2">
        <f>Inputs!I20</f>
        <v>0</v>
      </c>
      <c r="J24" s="2">
        <f>Inputs!J20</f>
        <v>0</v>
      </c>
      <c r="K24" s="2">
        <f>Inputs!K20</f>
        <v>0</v>
      </c>
      <c r="L24" s="2">
        <f>Inputs!L20</f>
        <v>0</v>
      </c>
      <c r="M24" s="2">
        <f>Inputs!M20</f>
        <v>0</v>
      </c>
      <c r="N24" s="11">
        <f>Inputs!N20</f>
        <v>0</v>
      </c>
      <c r="O24" s="76" t="s">
        <v>57</v>
      </c>
    </row>
    <row r="25" spans="2:29" x14ac:dyDescent="0.3">
      <c r="C25" s="67" t="s">
        <v>41</v>
      </c>
      <c r="D25" s="68">
        <f>SUM(D20:D24)</f>
        <v>483.90518002079392</v>
      </c>
      <c r="E25" s="69">
        <f>SUM(E20:E24)</f>
        <v>126.26580956203001</v>
      </c>
      <c r="F25" s="69">
        <f t="shared" ref="F25:N25" si="3">SUM(F20:F24)</f>
        <v>116.22710004013153</v>
      </c>
      <c r="G25" s="69">
        <f t="shared" si="3"/>
        <v>105.68645504213811</v>
      </c>
      <c r="H25" s="69">
        <f t="shared" si="3"/>
        <v>94.618777794245034</v>
      </c>
      <c r="I25" s="69">
        <f t="shared" si="3"/>
        <v>82.997716683957279</v>
      </c>
      <c r="J25" s="69">
        <f t="shared" si="3"/>
        <v>70.79560251815515</v>
      </c>
      <c r="K25" s="69">
        <f t="shared" si="3"/>
        <v>57.9833826440629</v>
      </c>
      <c r="L25" s="69">
        <f t="shared" si="3"/>
        <v>44.530551776266051</v>
      </c>
      <c r="M25" s="69">
        <f t="shared" si="3"/>
        <v>30.405079365079352</v>
      </c>
      <c r="N25" s="68">
        <f t="shared" si="3"/>
        <v>15.573333333333332</v>
      </c>
      <c r="O25" s="76"/>
    </row>
    <row r="26" spans="2:29" x14ac:dyDescent="0.3">
      <c r="C26" s="1" t="s">
        <v>11</v>
      </c>
      <c r="D26" s="11">
        <f>SUMPRODUCT(E26:$N26,Inputs!E$39:$N$39)</f>
        <v>113.00446056821724</v>
      </c>
      <c r="E26" s="2">
        <f>Inputs!E17</f>
        <v>20</v>
      </c>
      <c r="F26" s="2">
        <f>Inputs!F17</f>
        <v>20</v>
      </c>
      <c r="G26" s="2">
        <f>Inputs!G17</f>
        <v>20</v>
      </c>
      <c r="H26" s="2">
        <f>Inputs!H17</f>
        <v>20</v>
      </c>
      <c r="I26" s="2">
        <f>Inputs!I17</f>
        <v>20</v>
      </c>
      <c r="J26" s="2">
        <f>Inputs!J17</f>
        <v>20</v>
      </c>
      <c r="K26" s="2">
        <f>Inputs!K17</f>
        <v>20</v>
      </c>
      <c r="L26" s="2">
        <f>Inputs!L17</f>
        <v>20</v>
      </c>
      <c r="M26" s="2">
        <f>Inputs!M17</f>
        <v>20</v>
      </c>
      <c r="N26" s="11">
        <f>Inputs!N17</f>
        <v>20</v>
      </c>
      <c r="O26" s="76" t="s">
        <v>54</v>
      </c>
      <c r="AC26" s="24"/>
    </row>
    <row r="27" spans="2:29" x14ac:dyDescent="0.3">
      <c r="C27" s="1" t="s">
        <v>58</v>
      </c>
      <c r="D27" s="56">
        <f>SUMPRODUCT(E27:$N27,Inputs!E39:$N39)</f>
        <v>75.462219242479506</v>
      </c>
      <c r="E27" s="81">
        <f>(Inputs!D33+Inputs!D34)*Inputs!D26</f>
        <v>19.690424069421269</v>
      </c>
      <c r="F27" s="82">
        <f>(Inputs!E33+Inputs!E34)*Inputs!E26</f>
        <v>18.124945272892337</v>
      </c>
      <c r="G27" s="82">
        <f>(Inputs!F33+Inputs!F34)*Inputs!F26</f>
        <v>16.481192536536952</v>
      </c>
      <c r="H27" s="82">
        <f>(Inputs!G33+Inputs!G34)*Inputs!G26</f>
        <v>14.755252163363801</v>
      </c>
      <c r="I27" s="82">
        <f>(Inputs!H33+Inputs!H34)*Inputs!H26</f>
        <v>12.94301477153199</v>
      </c>
      <c r="J27" s="82">
        <f>(Inputs!I33+Inputs!I34)*Inputs!I26</f>
        <v>11.040165510108592</v>
      </c>
      <c r="K27" s="82">
        <f>(Inputs!J33+Inputs!J34)*Inputs!J26</f>
        <v>9.0421737856140183</v>
      </c>
      <c r="L27" s="82">
        <f>(Inputs!K33+Inputs!K34)*Inputs!K26</f>
        <v>6.9442824748947203</v>
      </c>
      <c r="M27" s="82">
        <f>(Inputs!L33+Inputs!L34)*Inputs!L26</f>
        <v>4.7414965986394559</v>
      </c>
      <c r="N27" s="83">
        <f>(Inputs!M33+Inputs!M34)*Inputs!M26</f>
        <v>2.4285714285714288</v>
      </c>
      <c r="O27" s="76" t="s">
        <v>56</v>
      </c>
      <c r="AC27" s="24"/>
    </row>
    <row r="28" spans="2:29" x14ac:dyDescent="0.3">
      <c r="C28" s="1" t="s">
        <v>39</v>
      </c>
      <c r="D28" s="11">
        <f>SUMPRODUCT(E28:$N28,Inputs!E$39:$N$39)</f>
        <v>-56.50223028410862</v>
      </c>
      <c r="E28" s="2">
        <f>-Inputs!E18</f>
        <v>-10</v>
      </c>
      <c r="F28" s="2">
        <f>-Inputs!F18</f>
        <v>-10</v>
      </c>
      <c r="G28" s="2">
        <f>-Inputs!G18</f>
        <v>-10</v>
      </c>
      <c r="H28" s="2">
        <f>-Inputs!H18</f>
        <v>-10</v>
      </c>
      <c r="I28" s="2">
        <f>-Inputs!I18</f>
        <v>-10</v>
      </c>
      <c r="J28" s="2">
        <f>-Inputs!J18</f>
        <v>-10</v>
      </c>
      <c r="K28" s="2">
        <f>-Inputs!K18</f>
        <v>-10</v>
      </c>
      <c r="L28" s="2">
        <f>-Inputs!L18</f>
        <v>-10</v>
      </c>
      <c r="M28" s="2">
        <f>-Inputs!M18</f>
        <v>-10</v>
      </c>
      <c r="N28" s="11">
        <f>-Inputs!N18</f>
        <v>-10</v>
      </c>
      <c r="O28" s="76" t="s">
        <v>52</v>
      </c>
      <c r="AC28" s="24"/>
    </row>
    <row r="29" spans="2:29" x14ac:dyDescent="0.3">
      <c r="C29" s="1" t="s">
        <v>40</v>
      </c>
      <c r="D29" s="11">
        <f>SUMPRODUCT(E29:$N29,Inputs!E$39:$N$39)</f>
        <v>0</v>
      </c>
      <c r="E29" s="2">
        <f>-Inputs!E19</f>
        <v>0</v>
      </c>
      <c r="F29" s="2">
        <f>-Inputs!F19</f>
        <v>0</v>
      </c>
      <c r="G29" s="2">
        <f>-Inputs!G19</f>
        <v>0</v>
      </c>
      <c r="H29" s="2">
        <f>-Inputs!H19</f>
        <v>0</v>
      </c>
      <c r="I29" s="2">
        <f>-Inputs!I19</f>
        <v>0</v>
      </c>
      <c r="J29" s="2">
        <f>-Inputs!J19</f>
        <v>0</v>
      </c>
      <c r="K29" s="2">
        <f>-Inputs!K19</f>
        <v>0</v>
      </c>
      <c r="L29" s="2">
        <f>-Inputs!L19</f>
        <v>0</v>
      </c>
      <c r="M29" s="2">
        <f>-Inputs!M19</f>
        <v>0</v>
      </c>
      <c r="N29" s="11">
        <f>-Inputs!N19</f>
        <v>0</v>
      </c>
      <c r="O29" s="77">
        <v>4.0999999999999996</v>
      </c>
      <c r="AC29" s="24"/>
    </row>
    <row r="30" spans="2:29" ht="15" thickBot="1" x14ac:dyDescent="0.35">
      <c r="C30" s="78" t="s">
        <v>87</v>
      </c>
      <c r="D30" s="79">
        <f>SUM(D26:D29)</f>
        <v>131.96444952658811</v>
      </c>
      <c r="E30" s="80">
        <f t="shared" ref="E30:N30" si="4">SUM(E26:E29)</f>
        <v>29.690424069421269</v>
      </c>
      <c r="F30" s="80">
        <f t="shared" si="4"/>
        <v>28.124945272892333</v>
      </c>
      <c r="G30" s="80">
        <f t="shared" si="4"/>
        <v>26.481192536536952</v>
      </c>
      <c r="H30" s="80">
        <f t="shared" si="4"/>
        <v>24.755252163363799</v>
      </c>
      <c r="I30" s="80">
        <f t="shared" si="4"/>
        <v>22.943014771531992</v>
      </c>
      <c r="J30" s="80">
        <f t="shared" si="4"/>
        <v>21.040165510108594</v>
      </c>
      <c r="K30" s="80">
        <f t="shared" si="4"/>
        <v>19.042173785614018</v>
      </c>
      <c r="L30" s="80">
        <f t="shared" si="4"/>
        <v>16.94428247489472</v>
      </c>
      <c r="M30" s="80">
        <f t="shared" si="4"/>
        <v>14.741496598639458</v>
      </c>
      <c r="N30" s="79">
        <f t="shared" si="4"/>
        <v>12.428571428571431</v>
      </c>
      <c r="O30" s="76"/>
    </row>
    <row r="31" spans="2:29" ht="15" thickBot="1" x14ac:dyDescent="0.35">
      <c r="C31" s="44" t="s">
        <v>82</v>
      </c>
      <c r="D31" s="66">
        <f>D25-D30</f>
        <v>351.94073049420581</v>
      </c>
      <c r="E31" s="111">
        <f>SUMPRODUCT(F25:$N25,Inputs!F$39:$N$39)-SUMPRODUCT(F30:$N30,Inputs!F$39:$N$39)</f>
        <v>265.71270773294805</v>
      </c>
      <c r="F31" s="111">
        <f>SUMPRODUCT(G25:$N25,Inputs!G$39:$N$39)-SUMPRODUCT(G30:$N30,Inputs!G$39:$N$39)</f>
        <v>195.47820935345246</v>
      </c>
      <c r="G31" s="111">
        <f>SUMPRODUCT(H25:$N25,Inputs!H$39:$N$39)-SUMPRODUCT(H30:$N30,Inputs!H$39:$N$39)</f>
        <v>139.10146797908945</v>
      </c>
      <c r="H31" s="111">
        <f>SUMPRODUCT(I25:$N25,Inputs!I$39:$N$39)-SUMPRODUCT(I30:$N30,Inputs!I$39:$N$39)</f>
        <v>94.701934419565077</v>
      </c>
      <c r="I31" s="111">
        <f>SUMPRODUCT(J25:$N25,Inputs!J$39:$N$39)-SUMPRODUCT(J30:$N30,Inputs!J$39:$N$39)</f>
        <v>60.625283742279883</v>
      </c>
      <c r="J31" s="111">
        <f>SUMPRODUCT(K25:$N25,Inputs!K$39:$N$39)-SUMPRODUCT(K30:$N30,Inputs!K$39:$N$39)</f>
        <v>35.417630906225703</v>
      </c>
      <c r="K31" s="111">
        <f>SUMPRODUCT(L25:$N25,Inputs!L$39:$N$39)-SUMPRODUCT(L30:$N30,Inputs!L$39:$N$39)</f>
        <v>17.802605634836269</v>
      </c>
      <c r="L31" s="111">
        <f>SUMPRODUCT(M25:$N25,Inputs!M$39:$N$39)-SUMPRODUCT(M30:$N30,Inputs!M$39:$N$39)</f>
        <v>6.6609741414902413</v>
      </c>
      <c r="M31" s="111">
        <f>SUMPRODUCT(N25:$N25,Inputs!N$39:$N$39)-SUMPRODUCT(N30:$N30,Inputs!N$39:$N$39)</f>
        <v>1.0125291687833116</v>
      </c>
      <c r="N31" s="111">
        <v>0</v>
      </c>
      <c r="O31" s="76" t="s">
        <v>79</v>
      </c>
    </row>
    <row r="32" spans="2:29" ht="9" customHeight="1" x14ac:dyDescent="0.3">
      <c r="B32" s="21"/>
      <c r="D32" s="7"/>
      <c r="E32" s="7"/>
      <c r="F32" s="7"/>
      <c r="G32" s="7"/>
      <c r="H32" s="7"/>
      <c r="I32" s="7"/>
      <c r="J32" s="2"/>
      <c r="K32" s="7"/>
      <c r="L32" s="7"/>
      <c r="M32" s="7"/>
      <c r="N32" s="7"/>
    </row>
    <row r="33" spans="2:36" ht="15" customHeight="1" x14ac:dyDescent="0.3">
      <c r="B33" s="21"/>
      <c r="D33" s="121"/>
      <c r="AC33" s="22"/>
      <c r="AD33" s="22"/>
      <c r="AE33" s="22"/>
      <c r="AF33" s="22"/>
      <c r="AG33" s="22"/>
      <c r="AH33" s="22"/>
      <c r="AI33" s="22"/>
      <c r="AJ33" s="22"/>
    </row>
    <row r="34" spans="2:36" ht="15" customHeight="1" thickBot="1" x14ac:dyDescent="0.35">
      <c r="B34" s="6"/>
      <c r="C34" s="21" t="s">
        <v>98</v>
      </c>
      <c r="D34" s="108"/>
      <c r="AC34" s="22"/>
      <c r="AD34" s="22"/>
      <c r="AE34" s="22"/>
      <c r="AF34" s="22"/>
      <c r="AG34" s="22"/>
      <c r="AH34" s="22"/>
      <c r="AI34" s="22"/>
      <c r="AJ34" s="22"/>
    </row>
    <row r="35" spans="2:36" ht="15" thickBot="1" x14ac:dyDescent="0.35">
      <c r="C35" s="86" t="s">
        <v>93</v>
      </c>
      <c r="D35" s="125">
        <v>0</v>
      </c>
      <c r="E35" s="87">
        <f t="shared" ref="E35:N35" si="5">E19</f>
        <v>1</v>
      </c>
      <c r="F35" s="87">
        <f t="shared" si="5"/>
        <v>2</v>
      </c>
      <c r="G35" s="87">
        <f t="shared" si="5"/>
        <v>3</v>
      </c>
      <c r="H35" s="87">
        <f t="shared" si="5"/>
        <v>4</v>
      </c>
      <c r="I35" s="87">
        <f t="shared" si="5"/>
        <v>5</v>
      </c>
      <c r="J35" s="87">
        <f t="shared" si="5"/>
        <v>6</v>
      </c>
      <c r="K35" s="87">
        <f t="shared" si="5"/>
        <v>7</v>
      </c>
      <c r="L35" s="87">
        <f t="shared" si="5"/>
        <v>8</v>
      </c>
      <c r="M35" s="87">
        <f t="shared" si="5"/>
        <v>9</v>
      </c>
      <c r="N35" s="88">
        <f t="shared" si="5"/>
        <v>10</v>
      </c>
      <c r="AC35" s="22"/>
      <c r="AD35" s="22"/>
      <c r="AE35" s="22"/>
      <c r="AF35" s="22"/>
      <c r="AG35" s="22"/>
      <c r="AH35" s="22"/>
      <c r="AI35" s="22"/>
      <c r="AJ35" s="22"/>
    </row>
    <row r="36" spans="2:36" ht="15" thickBot="1" x14ac:dyDescent="0.35">
      <c r="C36" s="1" t="s">
        <v>94</v>
      </c>
      <c r="D36" s="126">
        <f>Inputs!D36-D31</f>
        <v>1226.3818890311695</v>
      </c>
      <c r="E36" s="115">
        <f>Inputs!E36-E31</f>
        <v>1187.1260427686964</v>
      </c>
      <c r="F36" s="115">
        <f>Inputs!F36-F31</f>
        <v>1125.6024786732742</v>
      </c>
      <c r="G36" s="115">
        <f>Inputs!G36-G31</f>
        <v>1043.6332544489735</v>
      </c>
      <c r="H36" s="115">
        <f>Inputs!H36-H31</f>
        <v>942.76952412990113</v>
      </c>
      <c r="I36" s="115">
        <f>Inputs!I36-I31</f>
        <v>824.31974773465981</v>
      </c>
      <c r="J36" s="115">
        <f>Inputs!J36-J31</f>
        <v>689.37465214456051</v>
      </c>
      <c r="K36" s="115">
        <f>Inputs!K36-K31</f>
        <v>538.82929156848945</v>
      </c>
      <c r="L36" s="115">
        <f>Inputs!L36-L31</f>
        <v>373.40251792200178</v>
      </c>
      <c r="M36" s="115">
        <f>Inputs!M36-M31</f>
        <v>193.65413749788334</v>
      </c>
      <c r="N36" s="132">
        <f>Inputs!N36-N31</f>
        <v>0</v>
      </c>
      <c r="AC36" s="22"/>
      <c r="AD36" s="22"/>
      <c r="AE36" s="22"/>
      <c r="AF36" s="22"/>
      <c r="AG36" s="22"/>
      <c r="AH36" s="22"/>
      <c r="AI36" s="22"/>
      <c r="AJ36" s="22"/>
    </row>
    <row r="37" spans="2:36" x14ac:dyDescent="0.3">
      <c r="C37" s="8" t="s">
        <v>88</v>
      </c>
      <c r="D37" s="127">
        <f>-D36</f>
        <v>-1226.3818890311695</v>
      </c>
      <c r="E37" s="9">
        <f>D36-E36</f>
        <v>39.255846262473142</v>
      </c>
      <c r="F37" s="9">
        <f t="shared" ref="F37:N37" si="6">E36-F36</f>
        <v>61.523564095422216</v>
      </c>
      <c r="G37" s="9">
        <f t="shared" si="6"/>
        <v>81.96922422430066</v>
      </c>
      <c r="H37" s="9">
        <f t="shared" si="6"/>
        <v>100.86373031907237</v>
      </c>
      <c r="I37" s="9">
        <f t="shared" si="6"/>
        <v>118.44977639524132</v>
      </c>
      <c r="J37" s="9">
        <f t="shared" si="6"/>
        <v>134.9450955900993</v>
      </c>
      <c r="K37" s="9">
        <f t="shared" si="6"/>
        <v>150.54536057607106</v>
      </c>
      <c r="L37" s="9">
        <f t="shared" si="6"/>
        <v>165.42677364648767</v>
      </c>
      <c r="M37" s="9">
        <f t="shared" si="6"/>
        <v>179.74838042411844</v>
      </c>
      <c r="N37" s="10">
        <f t="shared" si="6"/>
        <v>193.65413749788334</v>
      </c>
      <c r="O37" s="76" t="s">
        <v>95</v>
      </c>
      <c r="AC37" s="22"/>
      <c r="AD37" s="22"/>
      <c r="AE37" s="22"/>
      <c r="AF37" s="22"/>
      <c r="AG37" s="22"/>
      <c r="AH37" s="22"/>
      <c r="AI37" s="22"/>
      <c r="AJ37" s="22"/>
    </row>
    <row r="38" spans="2:36" x14ac:dyDescent="0.3">
      <c r="C38" s="1" t="s">
        <v>77</v>
      </c>
      <c r="D38" s="128"/>
      <c r="E38" s="2">
        <f>-Inputs!E16-Inputs!E18+Example!E27+E29-E24</f>
        <v>-990.30957593057872</v>
      </c>
      <c r="F38" s="2">
        <f>-Inputs!F16-Inputs!F18+Example!F27+F29-F24</f>
        <v>-991.87505472710768</v>
      </c>
      <c r="G38" s="2">
        <f>-Inputs!G16-Inputs!G18+Example!G27+G29-G24</f>
        <v>-993.51880746346308</v>
      </c>
      <c r="H38" s="2">
        <f>-Inputs!H16-Inputs!H18+Example!H27+H29-H24</f>
        <v>-995.24474783663618</v>
      </c>
      <c r="I38" s="2">
        <f>-Inputs!I16-Inputs!I18+Example!I27+I29-I24</f>
        <v>-997.05698522846797</v>
      </c>
      <c r="J38" s="2">
        <f>-Inputs!J16-Inputs!J18+Example!J27+J29-J24</f>
        <v>-998.95983448989136</v>
      </c>
      <c r="K38" s="2">
        <f>-Inputs!K16-Inputs!K18+Example!K27+K29-K24</f>
        <v>-1000.9578262143859</v>
      </c>
      <c r="L38" s="2">
        <f>-Inputs!L16-Inputs!L18+Example!L27+L29-L24</f>
        <v>-1003.0557175251053</v>
      </c>
      <c r="M38" s="2">
        <f>-Inputs!M16-Inputs!M18+Example!M27+M29-M24</f>
        <v>-1005.2585034013606</v>
      </c>
      <c r="N38" s="11">
        <f>-Inputs!N16-Inputs!N18+Example!N27+N29-N24</f>
        <v>-1007.5714285714286</v>
      </c>
      <c r="O38" s="76"/>
      <c r="AC38" s="22"/>
      <c r="AD38" s="22"/>
      <c r="AE38" s="22"/>
      <c r="AF38" s="22"/>
      <c r="AG38" s="22"/>
      <c r="AH38" s="22"/>
      <c r="AI38" s="22"/>
      <c r="AJ38" s="22"/>
    </row>
    <row r="39" spans="2:36" x14ac:dyDescent="0.3">
      <c r="C39" s="1" t="s">
        <v>96</v>
      </c>
      <c r="D39" s="128"/>
      <c r="E39" s="2">
        <f>Inputs!D35-Inputs!E35</f>
        <v>626.19151861157388</v>
      </c>
      <c r="F39" s="2">
        <f>Inputs!E35-Inputs!F35</f>
        <v>657.50109454215362</v>
      </c>
      <c r="G39" s="2">
        <f>Inputs!F35-Inputs!G35</f>
        <v>690.37614926926017</v>
      </c>
      <c r="H39" s="2">
        <f>Inputs!G35-Inputs!H35</f>
        <v>724.89495673272449</v>
      </c>
      <c r="I39" s="2">
        <f>Inputs!H35-Inputs!I35</f>
        <v>761.13970456935931</v>
      </c>
      <c r="J39" s="2">
        <f>Inputs!I35-Inputs!J35</f>
        <v>799.19668979782909</v>
      </c>
      <c r="K39" s="2">
        <f>Inputs!J35-Inputs!K35</f>
        <v>839.15652428771909</v>
      </c>
      <c r="L39" s="2">
        <f>Inputs!K35-Inputs!L35</f>
        <v>881.11435050210594</v>
      </c>
      <c r="M39" s="2">
        <f>Inputs!L35-Inputs!M35</f>
        <v>925.17006802721073</v>
      </c>
      <c r="N39" s="11">
        <f>Inputs!M35-Inputs!N35</f>
        <v>971.42857142857144</v>
      </c>
      <c r="O39" s="76"/>
      <c r="AC39" s="22"/>
      <c r="AD39" s="22"/>
      <c r="AE39" s="22"/>
      <c r="AF39" s="22"/>
      <c r="AG39" s="22"/>
      <c r="AH39" s="22"/>
      <c r="AI39" s="22"/>
      <c r="AJ39" s="22"/>
    </row>
    <row r="40" spans="2:36" x14ac:dyDescent="0.3">
      <c r="C40" s="1" t="s">
        <v>74</v>
      </c>
      <c r="D40" s="128"/>
      <c r="E40" s="2">
        <f>Inputs!D35*Inputs!D25</f>
        <v>393.80848138842543</v>
      </c>
      <c r="F40" s="2">
        <f>Inputs!E35*Inputs!E25</f>
        <v>362.49890545784672</v>
      </c>
      <c r="G40" s="2">
        <f>Inputs!F35*Inputs!F25</f>
        <v>329.62385073073904</v>
      </c>
      <c r="H40" s="2">
        <f>Inputs!G35*Inputs!G25</f>
        <v>295.10504326727602</v>
      </c>
      <c r="I40" s="2">
        <f>Inputs!H35*Inputs!H25</f>
        <v>258.86029543063978</v>
      </c>
      <c r="J40" s="2">
        <f>Inputs!I35*Inputs!I25</f>
        <v>220.80331020217182</v>
      </c>
      <c r="K40" s="2">
        <f>Inputs!J35*Inputs!J25</f>
        <v>180.84347571228037</v>
      </c>
      <c r="L40" s="2">
        <f>Inputs!K35*Inputs!K25</f>
        <v>138.88564949789441</v>
      </c>
      <c r="M40" s="2">
        <f>Inputs!L35*Inputs!L25</f>
        <v>94.829931972789112</v>
      </c>
      <c r="N40" s="11">
        <f>Inputs!M35*Inputs!M25</f>
        <v>48.571428571428577</v>
      </c>
      <c r="O40" s="76" t="s">
        <v>90</v>
      </c>
      <c r="AC40" s="22"/>
      <c r="AD40" s="22"/>
      <c r="AE40" s="22"/>
      <c r="AF40" s="22"/>
      <c r="AG40" s="22"/>
      <c r="AH40" s="22"/>
      <c r="AI40" s="22"/>
      <c r="AJ40" s="22"/>
    </row>
    <row r="41" spans="2:36" x14ac:dyDescent="0.3">
      <c r="C41" s="1" t="s">
        <v>76</v>
      </c>
      <c r="D41" s="128"/>
      <c r="E41" s="2">
        <f>(D36+D31)*Inputs!E27</f>
        <v>63.132904781015014</v>
      </c>
      <c r="F41" s="2">
        <f>(E36+E31)*Inputs!F27</f>
        <v>58.11355002006578</v>
      </c>
      <c r="G41" s="2">
        <f>(F36+F31)*Inputs!G27</f>
        <v>52.843227521069068</v>
      </c>
      <c r="H41" s="2">
        <f>(G36+G31)*Inputs!H27</f>
        <v>47.309388897122517</v>
      </c>
      <c r="I41" s="2">
        <f>(H36+H31)*Inputs!I27</f>
        <v>41.498858341978647</v>
      </c>
      <c r="J41" s="2">
        <f>(I36+I31)*Inputs!J27</f>
        <v>35.397801259077589</v>
      </c>
      <c r="K41" s="2">
        <f>(J36+J31)*Inputs!K27</f>
        <v>28.991691322031446</v>
      </c>
      <c r="L41" s="2">
        <f>(K36+K31)*Inputs!L27</f>
        <v>22.265275888133029</v>
      </c>
      <c r="M41" s="2">
        <f>(L36+L31)*Inputs!M27</f>
        <v>15.20253968253968</v>
      </c>
      <c r="N41" s="11">
        <f>(M36+M31)*Inputs!N27</f>
        <v>7.7866666666666662</v>
      </c>
      <c r="AC41" s="22"/>
      <c r="AD41" s="22"/>
      <c r="AE41" s="22"/>
      <c r="AF41" s="22"/>
      <c r="AG41" s="22"/>
      <c r="AH41" s="22"/>
      <c r="AI41" s="22"/>
      <c r="AJ41" s="22"/>
    </row>
    <row r="42" spans="2:36" x14ac:dyDescent="0.3">
      <c r="C42" s="1" t="s">
        <v>75</v>
      </c>
      <c r="D42" s="128"/>
      <c r="E42" s="54">
        <f t="shared" ref="E42:N42" si="7">D31-E31</f>
        <v>86.228022761257762</v>
      </c>
      <c r="F42" s="54">
        <f t="shared" si="7"/>
        <v>70.234498379495591</v>
      </c>
      <c r="G42" s="54">
        <f t="shared" si="7"/>
        <v>56.376741374363007</v>
      </c>
      <c r="H42" s="54">
        <f t="shared" si="7"/>
        <v>44.399533559524372</v>
      </c>
      <c r="I42" s="54">
        <f t="shared" si="7"/>
        <v>34.076650677285194</v>
      </c>
      <c r="J42" s="54">
        <f t="shared" si="7"/>
        <v>25.20765283605418</v>
      </c>
      <c r="K42" s="54">
        <f t="shared" si="7"/>
        <v>17.615025271389435</v>
      </c>
      <c r="L42" s="54">
        <f t="shared" si="7"/>
        <v>11.141631493346027</v>
      </c>
      <c r="M42" s="54">
        <f t="shared" si="7"/>
        <v>5.6484449727069297</v>
      </c>
      <c r="N42" s="56">
        <f t="shared" si="7"/>
        <v>1.0125291687833116</v>
      </c>
      <c r="O42" s="76"/>
      <c r="AC42" s="22"/>
      <c r="AD42" s="22"/>
      <c r="AE42" s="22"/>
      <c r="AF42" s="22"/>
      <c r="AG42" s="22"/>
      <c r="AH42" s="22"/>
      <c r="AI42" s="22"/>
      <c r="AJ42" s="22"/>
    </row>
    <row r="43" spans="2:36" ht="15" thickBot="1" x14ac:dyDescent="0.35">
      <c r="C43" s="78" t="s">
        <v>73</v>
      </c>
      <c r="D43" s="129">
        <f t="shared" ref="D43:N43" si="8">SUM(D37:D42)</f>
        <v>-1226.3818890311695</v>
      </c>
      <c r="E43" s="80">
        <f t="shared" si="8"/>
        <v>218.30719787416652</v>
      </c>
      <c r="F43" s="80">
        <f t="shared" si="8"/>
        <v>217.99655776787625</v>
      </c>
      <c r="G43" s="80">
        <f t="shared" si="8"/>
        <v>217.67038565626888</v>
      </c>
      <c r="H43" s="80">
        <f t="shared" si="8"/>
        <v>217.3279049390836</v>
      </c>
      <c r="I43" s="80">
        <f t="shared" si="8"/>
        <v>216.96830018603626</v>
      </c>
      <c r="J43" s="80">
        <f t="shared" si="8"/>
        <v>216.59071519534064</v>
      </c>
      <c r="K43" s="80">
        <f t="shared" si="8"/>
        <v>216.19425095510547</v>
      </c>
      <c r="L43" s="80">
        <f t="shared" si="8"/>
        <v>215.77796350286189</v>
      </c>
      <c r="M43" s="80">
        <f t="shared" si="8"/>
        <v>215.34086167800425</v>
      </c>
      <c r="N43" s="79">
        <f t="shared" si="8"/>
        <v>214.88190476190476</v>
      </c>
      <c r="AC43" s="22"/>
      <c r="AD43" s="22"/>
      <c r="AE43" s="22"/>
      <c r="AF43" s="22"/>
      <c r="AG43" s="22"/>
      <c r="AH43" s="22"/>
      <c r="AI43" s="22"/>
      <c r="AJ43" s="22"/>
    </row>
    <row r="44" spans="2:36" x14ac:dyDescent="0.3">
      <c r="C44" s="89" t="s">
        <v>70</v>
      </c>
      <c r="D44" s="143">
        <f>IRR(D43:N43)</f>
        <v>0.11999999998607236</v>
      </c>
      <c r="E44" s="133" t="s">
        <v>59</v>
      </c>
      <c r="F44" s="134">
        <f>D44-Inputs!D10</f>
        <v>-1.3927636821620126E-11</v>
      </c>
      <c r="AC44" s="22"/>
      <c r="AD44" s="22"/>
      <c r="AE44" s="22"/>
      <c r="AF44" s="22"/>
      <c r="AG44" s="22"/>
      <c r="AH44" s="22"/>
      <c r="AI44" s="22"/>
      <c r="AJ44" s="22"/>
    </row>
    <row r="45" spans="2:36" ht="15" thickBot="1" x14ac:dyDescent="0.35">
      <c r="C45" s="90" t="s">
        <v>92</v>
      </c>
      <c r="D45" s="144">
        <f>SUM(E42:N42)</f>
        <v>351.94073049420587</v>
      </c>
      <c r="E45" s="133" t="s">
        <v>59</v>
      </c>
      <c r="F45" s="142">
        <f>D45-D31</f>
        <v>0</v>
      </c>
      <c r="AC45" s="22"/>
      <c r="AD45" s="22"/>
      <c r="AE45" s="22"/>
      <c r="AF45" s="22"/>
      <c r="AG45" s="22"/>
      <c r="AH45" s="22"/>
      <c r="AI45" s="22"/>
      <c r="AJ45" s="22"/>
    </row>
    <row r="46" spans="2:36" ht="15" thickBot="1" x14ac:dyDescent="0.35">
      <c r="AC46" s="22"/>
      <c r="AD46" s="22"/>
      <c r="AE46" s="22"/>
      <c r="AF46" s="22"/>
      <c r="AG46" s="22"/>
      <c r="AH46" s="22"/>
      <c r="AI46" s="22"/>
      <c r="AJ46" s="22"/>
    </row>
    <row r="47" spans="2:36" x14ac:dyDescent="0.3">
      <c r="C47" s="8" t="s">
        <v>91</v>
      </c>
      <c r="D47" s="10">
        <f>NPV(Inputs!$D$10,E47:N47)</f>
        <v>622.17935716528325</v>
      </c>
      <c r="E47" s="122">
        <f t="shared" ref="E47:N47" si="9">SUM(E38:E42)</f>
        <v>179.05135161169338</v>
      </c>
      <c r="F47" s="122">
        <f t="shared" si="9"/>
        <v>156.47299367245404</v>
      </c>
      <c r="G47" s="122">
        <f t="shared" si="9"/>
        <v>135.70116143196822</v>
      </c>
      <c r="H47" s="122">
        <f t="shared" si="9"/>
        <v>116.46417462001122</v>
      </c>
      <c r="I47" s="122">
        <f t="shared" si="9"/>
        <v>98.518523790794973</v>
      </c>
      <c r="J47" s="122">
        <f t="shared" si="9"/>
        <v>81.645619605241308</v>
      </c>
      <c r="K47" s="122">
        <f t="shared" si="9"/>
        <v>65.648890379034412</v>
      </c>
      <c r="L47" s="122">
        <f t="shared" si="9"/>
        <v>50.351189856374148</v>
      </c>
      <c r="M47" s="122">
        <f t="shared" si="9"/>
        <v>35.59248125388585</v>
      </c>
      <c r="N47" s="122">
        <f t="shared" si="9"/>
        <v>21.227767264021445</v>
      </c>
      <c r="AC47" s="22"/>
      <c r="AD47" s="22"/>
      <c r="AE47" s="22"/>
      <c r="AF47" s="22"/>
      <c r="AG47" s="22"/>
      <c r="AH47" s="22"/>
      <c r="AI47" s="22"/>
      <c r="AJ47" s="22"/>
    </row>
    <row r="48" spans="2:36" x14ac:dyDescent="0.3">
      <c r="C48" s="1" t="s">
        <v>72</v>
      </c>
      <c r="D48" s="11">
        <f>NPV(Inputs!$D$10,E48:N48)</f>
        <v>622.17935716528405</v>
      </c>
      <c r="E48" s="123">
        <f>D36*Inputs!$D$10</f>
        <v>147.16582668374033</v>
      </c>
      <c r="F48" s="123">
        <f>E36*Inputs!$D$10</f>
        <v>142.45512513224355</v>
      </c>
      <c r="G48" s="123">
        <f>F36*Inputs!$D$10</f>
        <v>135.07229744079291</v>
      </c>
      <c r="H48" s="123">
        <f>G36*Inputs!$D$10</f>
        <v>125.23599053387682</v>
      </c>
      <c r="I48" s="123">
        <f>H36*Inputs!$D$10</f>
        <v>113.13234289558814</v>
      </c>
      <c r="J48" s="123">
        <f>I36*Inputs!$D$10</f>
        <v>98.918369728159178</v>
      </c>
      <c r="K48" s="123">
        <f>J36*Inputs!$D$10</f>
        <v>82.724958257347254</v>
      </c>
      <c r="L48" s="123">
        <f>K36*Inputs!$D$10</f>
        <v>64.659514988218731</v>
      </c>
      <c r="M48" s="123">
        <f>L36*Inputs!$D$10</f>
        <v>44.808302150640209</v>
      </c>
      <c r="N48" s="123">
        <f>M36*Inputs!$D$10</f>
        <v>23.238496499745999</v>
      </c>
      <c r="AC48" s="22"/>
      <c r="AD48" s="22"/>
      <c r="AE48" s="22"/>
      <c r="AF48" s="22"/>
      <c r="AG48" s="22"/>
      <c r="AH48" s="22"/>
      <c r="AI48" s="22"/>
      <c r="AJ48" s="22"/>
    </row>
    <row r="49" spans="2:36" ht="15" thickBot="1" x14ac:dyDescent="0.35">
      <c r="C49" s="130" t="s">
        <v>71</v>
      </c>
      <c r="D49" s="131">
        <f>D47-D48</f>
        <v>0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AC49" s="22"/>
      <c r="AD49" s="22"/>
      <c r="AE49" s="22"/>
      <c r="AF49" s="22"/>
      <c r="AG49" s="22"/>
      <c r="AH49" s="22"/>
      <c r="AI49" s="22"/>
      <c r="AJ49" s="22"/>
    </row>
    <row r="50" spans="2:36" ht="9" customHeight="1" x14ac:dyDescent="0.3">
      <c r="B50" s="21"/>
      <c r="D50" s="7"/>
      <c r="E50" s="7"/>
      <c r="F50" s="7"/>
      <c r="G50" s="7"/>
      <c r="H50" s="7"/>
      <c r="I50" s="7"/>
      <c r="J50" s="2"/>
      <c r="K50" s="7"/>
      <c r="L50" s="7"/>
      <c r="M50" s="7"/>
      <c r="N50" s="7"/>
    </row>
    <row r="51" spans="2:36" ht="15.6" x14ac:dyDescent="0.3">
      <c r="B51" s="21"/>
      <c r="D51" s="22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2:36" ht="16.2" thickBot="1" x14ac:dyDescent="0.35">
      <c r="C52" s="21" t="s">
        <v>48</v>
      </c>
      <c r="D52" s="147"/>
      <c r="E52" s="147"/>
    </row>
    <row r="53" spans="2:36" ht="15" thickBot="1" x14ac:dyDescent="0.35">
      <c r="C53" s="70" t="s">
        <v>48</v>
      </c>
      <c r="D53" s="151" t="s">
        <v>42</v>
      </c>
      <c r="E53" s="151"/>
      <c r="F53" s="152" t="s">
        <v>99</v>
      </c>
      <c r="G53" s="152"/>
      <c r="H53" s="153" t="s">
        <v>46</v>
      </c>
      <c r="I53" s="154"/>
      <c r="J53" s="71" t="s">
        <v>49</v>
      </c>
      <c r="K53" s="72"/>
      <c r="L53" s="72"/>
      <c r="M53" s="72"/>
      <c r="N53" s="73"/>
    </row>
    <row r="54" spans="2:36" x14ac:dyDescent="0.3">
      <c r="C54" s="1" t="s">
        <v>47</v>
      </c>
      <c r="D54" s="147">
        <f>SUMPRODUCT(E6:$N6,Inputs!E41:$N41)</f>
        <v>-94.752346121757057</v>
      </c>
      <c r="E54" s="147"/>
      <c r="F54" s="147">
        <f>-D27</f>
        <v>-75.462219242479506</v>
      </c>
      <c r="G54" s="147"/>
      <c r="H54" s="147">
        <f>D54-F54</f>
        <v>-19.290126879277551</v>
      </c>
      <c r="I54" s="148"/>
      <c r="J54" s="75" t="s">
        <v>51</v>
      </c>
      <c r="N54" s="38"/>
      <c r="Q54" s="147"/>
      <c r="R54" s="147"/>
    </row>
    <row r="55" spans="2:36" x14ac:dyDescent="0.3">
      <c r="C55" s="1" t="s">
        <v>0</v>
      </c>
      <c r="D55" s="147">
        <f>SUMPRODUCT(E7:$N7,Inputs!E41:$N41)</f>
        <v>76.288404722026996</v>
      </c>
      <c r="E55" s="147"/>
      <c r="F55" s="147">
        <f>-D28</f>
        <v>56.50223028410862</v>
      </c>
      <c r="G55" s="147"/>
      <c r="H55" s="147">
        <f>D55-F55</f>
        <v>19.786174437918376</v>
      </c>
      <c r="I55" s="148"/>
      <c r="J55" s="75" t="s">
        <v>51</v>
      </c>
      <c r="N55" s="38"/>
      <c r="R55" s="22"/>
    </row>
    <row r="56" spans="2:36" x14ac:dyDescent="0.3">
      <c r="C56" s="1" t="s">
        <v>36</v>
      </c>
      <c r="D56" s="147">
        <f>D8</f>
        <v>0</v>
      </c>
      <c r="E56" s="147"/>
      <c r="F56" s="147">
        <f>-D29</f>
        <v>0</v>
      </c>
      <c r="G56" s="147"/>
      <c r="H56" s="147">
        <f t="shared" ref="H56:H62" si="10">D56-F56</f>
        <v>0</v>
      </c>
      <c r="I56" s="148"/>
      <c r="J56" s="75" t="s">
        <v>51</v>
      </c>
      <c r="N56" s="38"/>
      <c r="R56" s="26"/>
    </row>
    <row r="57" spans="2:36" x14ac:dyDescent="0.3">
      <c r="C57" s="1" t="s">
        <v>69</v>
      </c>
      <c r="D57" s="147">
        <f>D$10*D20/D$25+D$11</f>
        <v>265.78628700187585</v>
      </c>
      <c r="E57" s="147"/>
      <c r="F57" s="147">
        <f>D20-D26</f>
        <v>265.78628700187585</v>
      </c>
      <c r="G57" s="147"/>
      <c r="H57" s="147">
        <f t="shared" si="10"/>
        <v>0</v>
      </c>
      <c r="I57" s="148"/>
      <c r="J57" s="6" t="s">
        <v>50</v>
      </c>
      <c r="N57" s="38"/>
      <c r="R57" s="24"/>
    </row>
    <row r="58" spans="2:36" x14ac:dyDescent="0.3">
      <c r="C58" s="1" t="s">
        <v>43</v>
      </c>
      <c r="D58" s="147">
        <f>D$10*D21/D$25</f>
        <v>56.81861213551398</v>
      </c>
      <c r="E58" s="147"/>
      <c r="F58" s="147">
        <f>D21</f>
        <v>56.818612135513973</v>
      </c>
      <c r="G58" s="147"/>
      <c r="H58" s="147">
        <f t="shared" si="10"/>
        <v>0</v>
      </c>
      <c r="I58" s="148"/>
      <c r="J58" s="6" t="s">
        <v>50</v>
      </c>
      <c r="N58" s="38"/>
      <c r="X58" s="22"/>
      <c r="Y58" s="22"/>
      <c r="Z58" s="22"/>
      <c r="AA58" s="22"/>
    </row>
    <row r="59" spans="2:36" x14ac:dyDescent="0.3">
      <c r="C59" s="1" t="s">
        <v>45</v>
      </c>
      <c r="D59" s="147">
        <f>D$10*D22/D$25</f>
        <v>142.04653033878492</v>
      </c>
      <c r="E59" s="147"/>
      <c r="F59" s="147">
        <f>D22</f>
        <v>142.04653033878489</v>
      </c>
      <c r="G59" s="147"/>
      <c r="H59" s="147">
        <f t="shared" si="10"/>
        <v>0</v>
      </c>
      <c r="I59" s="148"/>
      <c r="J59" s="6" t="s">
        <v>50</v>
      </c>
      <c r="N59" s="38"/>
      <c r="X59" s="27"/>
    </row>
    <row r="60" spans="2:36" x14ac:dyDescent="0.3">
      <c r="C60" s="1" t="s">
        <v>68</v>
      </c>
      <c r="D60" s="147">
        <f>D$10*D23/D$25</f>
        <v>-93.75071002359806</v>
      </c>
      <c r="E60" s="147"/>
      <c r="F60" s="147">
        <f>D23</f>
        <v>-93.750710023598046</v>
      </c>
      <c r="G60" s="147"/>
      <c r="H60" s="147">
        <f t="shared" ref="H60" si="11">D60-F60</f>
        <v>0</v>
      </c>
      <c r="I60" s="148"/>
      <c r="J60" s="6" t="s">
        <v>50</v>
      </c>
      <c r="N60" s="38"/>
      <c r="X60" s="27"/>
    </row>
    <row r="61" spans="2:36" x14ac:dyDescent="0.3">
      <c r="C61" s="12" t="s">
        <v>38</v>
      </c>
      <c r="D61" s="156">
        <f>D12</f>
        <v>0</v>
      </c>
      <c r="E61" s="156"/>
      <c r="F61" s="156">
        <f>D24</f>
        <v>0</v>
      </c>
      <c r="G61" s="156"/>
      <c r="H61" s="156">
        <f t="shared" si="10"/>
        <v>0</v>
      </c>
      <c r="I61" s="157"/>
      <c r="J61" s="23" t="s">
        <v>50</v>
      </c>
      <c r="K61" s="23"/>
      <c r="L61" s="23"/>
      <c r="M61" s="23"/>
      <c r="N61" s="74"/>
      <c r="AC61" s="22"/>
      <c r="AD61" s="22"/>
      <c r="AE61" s="22"/>
      <c r="AF61" s="22"/>
      <c r="AG61" s="22"/>
      <c r="AH61" s="22"/>
      <c r="AI61" s="22"/>
      <c r="AJ61" s="22"/>
    </row>
    <row r="62" spans="2:36" ht="15" thickBot="1" x14ac:dyDescent="0.35">
      <c r="C62" s="5" t="s">
        <v>7</v>
      </c>
      <c r="D62" s="149">
        <f>D15</f>
        <v>352.43677805284824</v>
      </c>
      <c r="E62" s="149"/>
      <c r="F62" s="149">
        <f>D31</f>
        <v>351.94073049420581</v>
      </c>
      <c r="G62" s="149"/>
      <c r="H62" s="149">
        <f t="shared" si="10"/>
        <v>0.49604755864243089</v>
      </c>
      <c r="I62" s="155"/>
      <c r="J62" s="39" t="s">
        <v>78</v>
      </c>
      <c r="K62" s="39"/>
      <c r="L62" s="39"/>
      <c r="M62" s="39"/>
      <c r="N62" s="40"/>
      <c r="AC62" s="22"/>
      <c r="AD62" s="22"/>
      <c r="AE62" s="22"/>
      <c r="AF62" s="22"/>
      <c r="AG62" s="22"/>
      <c r="AH62" s="22"/>
      <c r="AI62" s="22"/>
      <c r="AJ62" s="22"/>
    </row>
    <row r="63" spans="2:36" ht="15.6" x14ac:dyDescent="0.3">
      <c r="B63" s="21"/>
      <c r="C63" s="116"/>
      <c r="D63" s="135" t="s">
        <v>59</v>
      </c>
      <c r="E63" s="136">
        <f>D62-D15</f>
        <v>0</v>
      </c>
      <c r="F63" s="136"/>
      <c r="G63" s="136">
        <f>F62-D31</f>
        <v>0</v>
      </c>
      <c r="H63" s="7"/>
      <c r="I63" s="7"/>
      <c r="J63" s="2"/>
      <c r="K63" s="7"/>
      <c r="L63" s="7"/>
      <c r="M63" s="7"/>
      <c r="N63" s="7"/>
    </row>
    <row r="64" spans="2:36" x14ac:dyDescent="0.3">
      <c r="AC64" s="22"/>
      <c r="AD64" s="22"/>
      <c r="AE64" s="22"/>
      <c r="AF64" s="22"/>
      <c r="AG64" s="22"/>
      <c r="AH64" s="22"/>
      <c r="AI64" s="22"/>
      <c r="AJ64" s="22"/>
    </row>
    <row r="65" spans="29:36" x14ac:dyDescent="0.3">
      <c r="AC65" s="22"/>
      <c r="AD65" s="22"/>
      <c r="AE65" s="22"/>
      <c r="AF65" s="22"/>
      <c r="AG65" s="22"/>
      <c r="AH65" s="22"/>
      <c r="AI65" s="22"/>
      <c r="AJ65" s="22"/>
    </row>
    <row r="66" spans="29:36" x14ac:dyDescent="0.3">
      <c r="AC66" s="22"/>
      <c r="AD66" s="22"/>
      <c r="AE66" s="22"/>
      <c r="AF66" s="22"/>
      <c r="AG66" s="22"/>
      <c r="AH66" s="22"/>
      <c r="AI66" s="22"/>
      <c r="AJ66" s="22"/>
    </row>
    <row r="67" spans="29:36" x14ac:dyDescent="0.3">
      <c r="AC67" s="22"/>
      <c r="AD67" s="22"/>
      <c r="AE67" s="22"/>
      <c r="AF67" s="22"/>
      <c r="AG67" s="22"/>
      <c r="AH67" s="22"/>
      <c r="AI67" s="22"/>
      <c r="AJ67" s="22"/>
    </row>
    <row r="68" spans="29:36" x14ac:dyDescent="0.3">
      <c r="AC68" s="7" t="e">
        <f>#REF!</f>
        <v>#REF!</v>
      </c>
      <c r="AD68" s="22"/>
      <c r="AE68" s="22"/>
      <c r="AF68" s="22"/>
      <c r="AG68" s="22"/>
      <c r="AH68" s="22"/>
      <c r="AI68" s="22"/>
      <c r="AJ68" s="22"/>
    </row>
    <row r="69" spans="29:36" x14ac:dyDescent="0.3">
      <c r="AC69" s="7" t="e">
        <f>#REF!</f>
        <v>#REF!</v>
      </c>
      <c r="AD69" s="22"/>
      <c r="AE69" s="22"/>
      <c r="AF69" s="22"/>
      <c r="AG69" s="22"/>
      <c r="AH69" s="22"/>
      <c r="AI69" s="22"/>
      <c r="AJ69" s="22"/>
    </row>
    <row r="70" spans="29:36" x14ac:dyDescent="0.3">
      <c r="AD70" s="22"/>
      <c r="AE70" s="22"/>
      <c r="AF70" s="22"/>
      <c r="AG70" s="22"/>
      <c r="AH70" s="22"/>
      <c r="AI70" s="22"/>
      <c r="AJ70" s="22"/>
    </row>
  </sheetData>
  <mergeCells count="33">
    <mergeCell ref="F58:G58"/>
    <mergeCell ref="D60:E60"/>
    <mergeCell ref="D61:E61"/>
    <mergeCell ref="H55:I55"/>
    <mergeCell ref="H61:I61"/>
    <mergeCell ref="Q54:R54"/>
    <mergeCell ref="F61:G61"/>
    <mergeCell ref="F56:G56"/>
    <mergeCell ref="H56:I56"/>
    <mergeCell ref="F55:G55"/>
    <mergeCell ref="D56:E56"/>
    <mergeCell ref="D55:E55"/>
    <mergeCell ref="H60:I60"/>
    <mergeCell ref="D57:E57"/>
    <mergeCell ref="F57:G57"/>
    <mergeCell ref="H57:I57"/>
    <mergeCell ref="D58:E58"/>
    <mergeCell ref="F60:G60"/>
    <mergeCell ref="H58:I58"/>
    <mergeCell ref="D62:E62"/>
    <mergeCell ref="E18:N18"/>
    <mergeCell ref="D53:E53"/>
    <mergeCell ref="F53:G53"/>
    <mergeCell ref="H53:I53"/>
    <mergeCell ref="D54:E54"/>
    <mergeCell ref="F54:G54"/>
    <mergeCell ref="H54:I54"/>
    <mergeCell ref="F62:G62"/>
    <mergeCell ref="H62:I62"/>
    <mergeCell ref="D59:E59"/>
    <mergeCell ref="F59:G59"/>
    <mergeCell ref="H59:I59"/>
    <mergeCell ref="D52:E52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7D054E2AF70B49848AD1E75DB67E30" ma:contentTypeVersion="8" ma:contentTypeDescription="Create a new document." ma:contentTypeScope="" ma:versionID="948ebebd9cf62241ceeb558b2a350919">
  <xsd:schema xmlns:xsd="http://www.w3.org/2001/XMLSchema" xmlns:xs="http://www.w3.org/2001/XMLSchema" xmlns:p="http://schemas.microsoft.com/office/2006/metadata/properties" xmlns:ns3="684dfe2e-54b8-4944-b9d8-f5e5cc2f7944" targetNamespace="http://schemas.microsoft.com/office/2006/metadata/properties" ma:root="true" ma:fieldsID="18043f903abbf6fe27de8b0f9b323b88" ns3:_="">
    <xsd:import namespace="684dfe2e-54b8-4944-b9d8-f5e5cc2f79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dfe2e-54b8-4944-b9d8-f5e5cc2f7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F455E7-234A-45BE-9083-798AC5D40687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84dfe2e-54b8-4944-b9d8-f5e5cc2f7944"/>
  </ds:schemaRefs>
</ds:datastoreItem>
</file>

<file path=customXml/itemProps2.xml><?xml version="1.0" encoding="utf-8"?>
<ds:datastoreItem xmlns:ds="http://schemas.openxmlformats.org/officeDocument/2006/customXml" ds:itemID="{CB46276C-B9DF-43DD-9C0D-26F8599EBA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3A097F-0944-4446-8FB3-AA899CA07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dfe2e-54b8-4944-b9d8-f5e5cc2f7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</vt:lpstr>
      <vt:lpstr>Example</vt:lpstr>
    </vt:vector>
  </TitlesOfParts>
  <Company>Sun Life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Burtt</dc:creator>
  <cp:lastModifiedBy>Josée Racette</cp:lastModifiedBy>
  <cp:lastPrinted>2021-03-19T20:01:58Z</cp:lastPrinted>
  <dcterms:created xsi:type="dcterms:W3CDTF">2021-03-19T19:13:46Z</dcterms:created>
  <dcterms:modified xsi:type="dcterms:W3CDTF">2023-06-01T18:33:18Z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0x010100DE7D054E2AF70B49848AD1E75DB67E30</vt:lpwstr>
  </property>
</Properties>
</file>