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#01 - CIA\Professional Practice\PC\Ed Notes\LRC P&amp;C\Final 2022\revised\"/>
    </mc:Choice>
  </mc:AlternateContent>
  <xr:revisionPtr revIDLastSave="0" documentId="13_ncr:1_{86401FA2-B6CB-4022-8B83-EA53606438BB}" xr6:coauthVersionLast="47" xr6:coauthVersionMax="47" xr10:uidLastSave="{00000000-0000-0000-0000-000000000000}"/>
  <bookViews>
    <workbookView xWindow="-110" yWindow="-110" windowWidth="19420" windowHeight="10420" firstSheet="2" activeTab="5" xr2:uid="{2C6137A3-FF3E-4593-B225-779EDB1FCEE7}"/>
  </bookViews>
  <sheets>
    <sheet name="Approche" sheetId="13" r:id="rId1"/>
    <sheet name="Exemple1-FinAnnée" sheetId="14" r:id="rId2"/>
    <sheet name="Exemple2-FinAnnée" sheetId="12" r:id="rId3"/>
    <sheet name="Exemple1-MiAnnée" sheetId="17" r:id="rId4"/>
    <sheet name="Exemple2-MiAnnée" sheetId="18" r:id="rId5"/>
    <sheet name="Parallélogramme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1" i="17" l="1"/>
  <c r="X13" i="17" s="1"/>
  <c r="X15" i="17" s="1"/>
  <c r="D11" i="17"/>
  <c r="F11" i="14" l="1"/>
  <c r="F13" i="14" l="1"/>
  <c r="F15" i="14" s="1"/>
  <c r="G11" i="14"/>
  <c r="E11" i="17"/>
  <c r="E10" i="17"/>
  <c r="W15" i="17" l="1"/>
  <c r="W13" i="17"/>
  <c r="P26" i="18"/>
  <c r="P25" i="18"/>
  <c r="P22" i="18"/>
  <c r="P21" i="18"/>
  <c r="P18" i="18"/>
  <c r="P17" i="18"/>
  <c r="P26" i="12"/>
  <c r="P25" i="12"/>
  <c r="P22" i="12"/>
  <c r="P21" i="12"/>
  <c r="P18" i="12"/>
  <c r="P17" i="12"/>
  <c r="T47" i="16"/>
  <c r="S47" i="16"/>
  <c r="R47" i="16"/>
  <c r="P28" i="18" s="1"/>
  <c r="Q47" i="16"/>
  <c r="S21" i="16"/>
  <c r="Q26" i="12" s="1"/>
  <c r="R21" i="16"/>
  <c r="P28" i="12" s="1"/>
  <c r="Q21" i="16"/>
  <c r="U46" i="16"/>
  <c r="U45" i="16"/>
  <c r="U44" i="16"/>
  <c r="U43" i="16"/>
  <c r="U42" i="16"/>
  <c r="U41" i="16"/>
  <c r="U40" i="16"/>
  <c r="U39" i="16"/>
  <c r="U38" i="16"/>
  <c r="U37" i="16"/>
  <c r="U36" i="16"/>
  <c r="U35" i="16"/>
  <c r="U34" i="16"/>
  <c r="U33" i="16"/>
  <c r="T34" i="16"/>
  <c r="P33" i="16"/>
  <c r="S8" i="16"/>
  <c r="Q16" i="12" s="1"/>
  <c r="P7" i="16"/>
  <c r="Q28" i="18" l="1"/>
  <c r="Q22" i="18"/>
  <c r="Q27" i="18"/>
  <c r="Q16" i="18"/>
  <c r="Q17" i="18"/>
  <c r="Q21" i="18"/>
  <c r="U48" i="16"/>
  <c r="W11" i="17"/>
  <c r="Q15" i="12"/>
  <c r="Q19" i="12"/>
  <c r="Q27" i="12"/>
  <c r="Q15" i="18"/>
  <c r="Q24" i="12"/>
  <c r="P34" i="16"/>
  <c r="P35" i="16" s="1"/>
  <c r="P36" i="16" s="1"/>
  <c r="P37" i="16" s="1"/>
  <c r="P38" i="16" s="1"/>
  <c r="P39" i="16" s="1"/>
  <c r="P40" i="16" s="1"/>
  <c r="P41" i="16" s="1"/>
  <c r="P42" i="16" s="1"/>
  <c r="P43" i="16" s="1"/>
  <c r="P44" i="16" s="1"/>
  <c r="P45" i="16" s="1"/>
  <c r="P46" i="16" s="1"/>
  <c r="R48" i="16"/>
  <c r="T48" i="16"/>
  <c r="S48" i="16"/>
  <c r="Q48" i="16"/>
  <c r="P15" i="12"/>
  <c r="P19" i="12"/>
  <c r="P23" i="12"/>
  <c r="P27" i="12"/>
  <c r="Q17" i="12"/>
  <c r="Q21" i="12"/>
  <c r="Q25" i="12"/>
  <c r="P15" i="18"/>
  <c r="P19" i="18"/>
  <c r="P23" i="18"/>
  <c r="P27" i="18"/>
  <c r="P8" i="16"/>
  <c r="P9" i="16" s="1"/>
  <c r="P10" i="16" s="1"/>
  <c r="P11" i="16" s="1"/>
  <c r="P12" i="16" s="1"/>
  <c r="P13" i="16" s="1"/>
  <c r="P14" i="16" s="1"/>
  <c r="P15" i="16" s="1"/>
  <c r="P16" i="16" s="1"/>
  <c r="P17" i="16" s="1"/>
  <c r="P18" i="16" s="1"/>
  <c r="P19" i="16" s="1"/>
  <c r="P20" i="16" s="1"/>
  <c r="R22" i="16"/>
  <c r="Q22" i="16"/>
  <c r="S22" i="16"/>
  <c r="Q23" i="12"/>
  <c r="U47" i="16"/>
  <c r="Q18" i="18" s="1"/>
  <c r="Q20" i="12"/>
  <c r="Q28" i="12"/>
  <c r="P16" i="12"/>
  <c r="P20" i="12"/>
  <c r="P24" i="12"/>
  <c r="Q18" i="12"/>
  <c r="Q22" i="12"/>
  <c r="P16" i="18"/>
  <c r="P20" i="18"/>
  <c r="P24" i="18"/>
  <c r="E13" i="17"/>
  <c r="E12" i="17"/>
  <c r="E14" i="17" s="1"/>
  <c r="C23" i="18"/>
  <c r="D22" i="18"/>
  <c r="D21" i="18"/>
  <c r="D20" i="18"/>
  <c r="D19" i="18"/>
  <c r="D18" i="18"/>
  <c r="D17" i="18"/>
  <c r="O16" i="18"/>
  <c r="O17" i="18" s="1"/>
  <c r="O18" i="18" s="1"/>
  <c r="O19" i="18" s="1"/>
  <c r="O20" i="18" s="1"/>
  <c r="O21" i="18" s="1"/>
  <c r="O22" i="18" s="1"/>
  <c r="O23" i="18" s="1"/>
  <c r="O24" i="18" s="1"/>
  <c r="O25" i="18" s="1"/>
  <c r="O26" i="18" s="1"/>
  <c r="O27" i="18" s="1"/>
  <c r="N16" i="18"/>
  <c r="N17" i="18" s="1"/>
  <c r="N18" i="18" s="1"/>
  <c r="N19" i="18" s="1"/>
  <c r="N20" i="18" s="1"/>
  <c r="N21" i="18" s="1"/>
  <c r="N22" i="18" s="1"/>
  <c r="N23" i="18" s="1"/>
  <c r="N24" i="18" s="1"/>
  <c r="N25" i="18" s="1"/>
  <c r="N26" i="18" s="1"/>
  <c r="N27" i="18" s="1"/>
  <c r="N28" i="18" s="1"/>
  <c r="E16" i="18"/>
  <c r="E17" i="18" s="1"/>
  <c r="E18" i="18" s="1"/>
  <c r="E19" i="18" s="1"/>
  <c r="E20" i="18" s="1"/>
  <c r="D16" i="18"/>
  <c r="B16" i="18"/>
  <c r="B17" i="18" s="1"/>
  <c r="B18" i="18" s="1"/>
  <c r="B19" i="18" s="1"/>
  <c r="B20" i="18" s="1"/>
  <c r="B21" i="18" s="1"/>
  <c r="B22" i="18" s="1"/>
  <c r="O15" i="18"/>
  <c r="D15" i="18"/>
  <c r="X31" i="17"/>
  <c r="AG15" i="17"/>
  <c r="AF15" i="17"/>
  <c r="AA15" i="17"/>
  <c r="R15" i="17"/>
  <c r="Q15" i="17"/>
  <c r="AG14" i="17"/>
  <c r="AF14" i="17"/>
  <c r="AA14" i="17"/>
  <c r="R14" i="17"/>
  <c r="Q14" i="17"/>
  <c r="AG13" i="17"/>
  <c r="AF13" i="17"/>
  <c r="AA13" i="17"/>
  <c r="R13" i="17"/>
  <c r="Q13" i="17"/>
  <c r="AG12" i="17"/>
  <c r="AF12" i="17"/>
  <c r="AA12" i="17"/>
  <c r="R12" i="17"/>
  <c r="Q12" i="17"/>
  <c r="AG11" i="17"/>
  <c r="AF11" i="17"/>
  <c r="AA11" i="17"/>
  <c r="R11" i="17"/>
  <c r="Q11" i="17"/>
  <c r="AG10" i="17"/>
  <c r="AF10" i="17"/>
  <c r="AA10" i="17"/>
  <c r="R10" i="17"/>
  <c r="Q10" i="17"/>
  <c r="T15" i="18" l="1"/>
  <c r="Q24" i="18"/>
  <c r="Q23" i="18"/>
  <c r="Q26" i="18"/>
  <c r="S15" i="18"/>
  <c r="Q25" i="18"/>
  <c r="Q20" i="18"/>
  <c r="Q19" i="18"/>
  <c r="E15" i="17"/>
  <c r="S27" i="18"/>
  <c r="O28" i="18"/>
  <c r="S28" i="18" s="1"/>
  <c r="E21" i="18"/>
  <c r="S16" i="18"/>
  <c r="AA31" i="17"/>
  <c r="T16" i="18"/>
  <c r="D23" i="18"/>
  <c r="AF10" i="14"/>
  <c r="AG10" i="14"/>
  <c r="AF11" i="14"/>
  <c r="AG11" i="14"/>
  <c r="AF12" i="14"/>
  <c r="AG12" i="14"/>
  <c r="AF13" i="14"/>
  <c r="AG13" i="14"/>
  <c r="AF14" i="14"/>
  <c r="AG14" i="14"/>
  <c r="AF15" i="14"/>
  <c r="AG15" i="14"/>
  <c r="R10" i="14"/>
  <c r="R11" i="14"/>
  <c r="R12" i="14"/>
  <c r="R13" i="14"/>
  <c r="R14" i="14"/>
  <c r="R15" i="14"/>
  <c r="Q10" i="14"/>
  <c r="Q11" i="14"/>
  <c r="Q12" i="14"/>
  <c r="Q13" i="14"/>
  <c r="Q14" i="14"/>
  <c r="Q15" i="14"/>
  <c r="S17" i="18" l="1"/>
  <c r="T17" i="18"/>
  <c r="E22" i="18"/>
  <c r="S18" i="18" l="1"/>
  <c r="T18" i="18"/>
  <c r="S19" i="18" l="1"/>
  <c r="T19" i="18"/>
  <c r="G21" i="18" l="1"/>
  <c r="H21" i="18" s="1"/>
  <c r="G17" i="18"/>
  <c r="G18" i="18"/>
  <c r="G20" i="18"/>
  <c r="H20" i="18" s="1"/>
  <c r="G16" i="18"/>
  <c r="H16" i="18" s="1"/>
  <c r="G19" i="18"/>
  <c r="G15" i="18"/>
  <c r="G22" i="18"/>
  <c r="H22" i="18" s="1"/>
  <c r="G21" i="12"/>
  <c r="G17" i="12"/>
  <c r="G20" i="12"/>
  <c r="G16" i="12"/>
  <c r="G18" i="12"/>
  <c r="G19" i="12"/>
  <c r="G15" i="12"/>
  <c r="G22" i="12"/>
  <c r="I21" i="12"/>
  <c r="I17" i="12"/>
  <c r="I22" i="12"/>
  <c r="I20" i="12"/>
  <c r="I16" i="12"/>
  <c r="I18" i="12"/>
  <c r="I19" i="12"/>
  <c r="I15" i="12"/>
  <c r="I21" i="18"/>
  <c r="I17" i="18"/>
  <c r="I18" i="18"/>
  <c r="I20" i="18"/>
  <c r="J20" i="18" s="1"/>
  <c r="I16" i="18"/>
  <c r="J16" i="18" s="1"/>
  <c r="I22" i="18"/>
  <c r="I19" i="18"/>
  <c r="I15" i="18"/>
  <c r="J15" i="18" s="1"/>
  <c r="J19" i="18"/>
  <c r="J17" i="18"/>
  <c r="J18" i="18"/>
  <c r="J21" i="18"/>
  <c r="J22" i="18"/>
  <c r="H17" i="18"/>
  <c r="H19" i="18"/>
  <c r="H18" i="18"/>
  <c r="H15" i="18"/>
  <c r="S20" i="18"/>
  <c r="T20" i="18"/>
  <c r="AJ15" i="14"/>
  <c r="AJ13" i="14"/>
  <c r="AJ11" i="14"/>
  <c r="H23" i="18" l="1"/>
  <c r="J23" i="18"/>
  <c r="L11" i="17" s="1"/>
  <c r="L10" i="17"/>
  <c r="T21" i="18"/>
  <c r="S21" i="18"/>
  <c r="G15" i="14"/>
  <c r="Z15" i="14" s="1"/>
  <c r="G13" i="14"/>
  <c r="Z13" i="14" s="1"/>
  <c r="I11" i="14"/>
  <c r="F14" i="14"/>
  <c r="D14" i="14"/>
  <c r="AJ14" i="14" s="1"/>
  <c r="F12" i="14"/>
  <c r="D12" i="14"/>
  <c r="F10" i="14"/>
  <c r="F10" i="17" s="1"/>
  <c r="D10" i="14"/>
  <c r="X31" i="14"/>
  <c r="AA15" i="14"/>
  <c r="AA14" i="14"/>
  <c r="AA13" i="14"/>
  <c r="AA12" i="14"/>
  <c r="AA11" i="14"/>
  <c r="AA10" i="14"/>
  <c r="AA31" i="14" l="1"/>
  <c r="AJ10" i="14"/>
  <c r="G12" i="14"/>
  <c r="Z12" i="14" s="1"/>
  <c r="AJ12" i="14"/>
  <c r="D10" i="17"/>
  <c r="F12" i="17"/>
  <c r="F14" i="17" s="1"/>
  <c r="I15" i="14"/>
  <c r="L13" i="17"/>
  <c r="L15" i="17" s="1"/>
  <c r="L12" i="17"/>
  <c r="T22" i="18"/>
  <c r="S22" i="18"/>
  <c r="Z11" i="14"/>
  <c r="G10" i="14"/>
  <c r="I10" i="14" s="1"/>
  <c r="G14" i="14"/>
  <c r="I14" i="14" s="1"/>
  <c r="I13" i="14"/>
  <c r="C23" i="12"/>
  <c r="O15" i="12"/>
  <c r="O16" i="12" s="1"/>
  <c r="O17" i="12" s="1"/>
  <c r="O18" i="12" s="1"/>
  <c r="O19" i="12" s="1"/>
  <c r="O20" i="12" s="1"/>
  <c r="O21" i="12" s="1"/>
  <c r="O22" i="12" s="1"/>
  <c r="O23" i="12" s="1"/>
  <c r="O24" i="12" s="1"/>
  <c r="O25" i="12" s="1"/>
  <c r="O26" i="12" s="1"/>
  <c r="O27" i="12" s="1"/>
  <c r="O28" i="12" s="1"/>
  <c r="N16" i="12"/>
  <c r="N17" i="12" s="1"/>
  <c r="N18" i="12" s="1"/>
  <c r="N19" i="12" s="1"/>
  <c r="N20" i="12" s="1"/>
  <c r="N21" i="12" s="1"/>
  <c r="N22" i="12" s="1"/>
  <c r="N23" i="12" s="1"/>
  <c r="N24" i="12" s="1"/>
  <c r="N25" i="12" s="1"/>
  <c r="N26" i="12" s="1"/>
  <c r="N27" i="12" s="1"/>
  <c r="N28" i="12" s="1"/>
  <c r="I12" i="14" l="1"/>
  <c r="AJ31" i="14"/>
  <c r="D12" i="17"/>
  <c r="AJ10" i="17"/>
  <c r="G10" i="17"/>
  <c r="F11" i="17"/>
  <c r="F13" i="17" s="1"/>
  <c r="F15" i="17" s="1"/>
  <c r="D13" i="17"/>
  <c r="AJ11" i="17"/>
  <c r="L14" i="17"/>
  <c r="S23" i="18"/>
  <c r="T23" i="18"/>
  <c r="I31" i="14"/>
  <c r="Z14" i="14"/>
  <c r="Z10" i="14"/>
  <c r="G31" i="14"/>
  <c r="J31" i="14"/>
  <c r="K31" i="14" s="1"/>
  <c r="T16" i="12"/>
  <c r="S28" i="12"/>
  <c r="S27" i="12"/>
  <c r="S15" i="12"/>
  <c r="T15" i="12"/>
  <c r="G11" i="17" l="1"/>
  <c r="I11" i="17" s="1"/>
  <c r="D14" i="17"/>
  <c r="AJ12" i="17"/>
  <c r="G12" i="17"/>
  <c r="Z11" i="17"/>
  <c r="D15" i="17"/>
  <c r="G13" i="17"/>
  <c r="AJ13" i="17"/>
  <c r="Z10" i="17"/>
  <c r="I10" i="17"/>
  <c r="S10" i="17" s="1"/>
  <c r="T24" i="18"/>
  <c r="S24" i="18"/>
  <c r="H31" i="14"/>
  <c r="Z31" i="14"/>
  <c r="W31" i="14" s="1"/>
  <c r="T17" i="12"/>
  <c r="S16" i="12"/>
  <c r="N11" i="17" l="1"/>
  <c r="S11" i="17"/>
  <c r="AJ15" i="17"/>
  <c r="G15" i="17"/>
  <c r="N10" i="17"/>
  <c r="G14" i="17"/>
  <c r="AJ14" i="17"/>
  <c r="AJ31" i="17" s="1"/>
  <c r="Z12" i="17"/>
  <c r="I12" i="17"/>
  <c r="Z13" i="17"/>
  <c r="I13" i="17"/>
  <c r="S25" i="18"/>
  <c r="T25" i="18"/>
  <c r="S17" i="12"/>
  <c r="T18" i="12"/>
  <c r="D22" i="12"/>
  <c r="D21" i="12"/>
  <c r="D20" i="12"/>
  <c r="D19" i="12"/>
  <c r="D18" i="12"/>
  <c r="D17" i="12"/>
  <c r="D16" i="12"/>
  <c r="E16" i="12"/>
  <c r="E17" i="12" s="1"/>
  <c r="E18" i="12" s="1"/>
  <c r="E19" i="12" s="1"/>
  <c r="E20" i="12" s="1"/>
  <c r="B16" i="12"/>
  <c r="B17" i="12" s="1"/>
  <c r="B18" i="12" s="1"/>
  <c r="B19" i="12" s="1"/>
  <c r="B20" i="12" s="1"/>
  <c r="B21" i="12" s="1"/>
  <c r="B22" i="12" s="1"/>
  <c r="D15" i="12"/>
  <c r="N13" i="17" l="1"/>
  <c r="S13" i="17"/>
  <c r="N12" i="17"/>
  <c r="S12" i="17"/>
  <c r="G31" i="17"/>
  <c r="I15" i="17"/>
  <c r="S15" i="17" s="1"/>
  <c r="Z15" i="17"/>
  <c r="Z31" i="17" s="1"/>
  <c r="I14" i="17"/>
  <c r="Z14" i="17"/>
  <c r="T26" i="18"/>
  <c r="S26" i="18"/>
  <c r="S29" i="18" s="1"/>
  <c r="P29" i="18"/>
  <c r="J19" i="12"/>
  <c r="H19" i="12"/>
  <c r="H16" i="12"/>
  <c r="J16" i="12"/>
  <c r="J20" i="12"/>
  <c r="H20" i="12"/>
  <c r="T19" i="12"/>
  <c r="H15" i="12"/>
  <c r="D23" i="12"/>
  <c r="J15" i="12"/>
  <c r="J17" i="12"/>
  <c r="H17" i="12"/>
  <c r="S18" i="12"/>
  <c r="J18" i="12"/>
  <c r="H18" i="12"/>
  <c r="E21" i="12"/>
  <c r="E22" i="12" s="1"/>
  <c r="H22" i="12" s="1"/>
  <c r="N14" i="17" l="1"/>
  <c r="S14" i="17"/>
  <c r="I31" i="17"/>
  <c r="N15" i="17"/>
  <c r="N31" i="17" s="1"/>
  <c r="M12" i="17"/>
  <c r="M14" i="17"/>
  <c r="M10" i="17"/>
  <c r="T27" i="18"/>
  <c r="H21" i="12"/>
  <c r="H23" i="12" s="1"/>
  <c r="L10" i="14" s="1"/>
  <c r="S10" i="14" s="1"/>
  <c r="J22" i="12"/>
  <c r="T20" i="12"/>
  <c r="J21" i="12"/>
  <c r="S19" i="12"/>
  <c r="H31" i="17" l="1"/>
  <c r="J31" i="17"/>
  <c r="K31" i="17" s="1"/>
  <c r="W31" i="17"/>
  <c r="J23" i="12"/>
  <c r="L11" i="14" s="1"/>
  <c r="S11" i="14" s="1"/>
  <c r="AH10" i="17"/>
  <c r="AC10" i="17"/>
  <c r="AH14" i="17"/>
  <c r="AC14" i="17"/>
  <c r="T14" i="17"/>
  <c r="T28" i="18"/>
  <c r="T29" i="18" s="1"/>
  <c r="Q29" i="18"/>
  <c r="AH12" i="17"/>
  <c r="AC12" i="17"/>
  <c r="T12" i="17"/>
  <c r="L12" i="14"/>
  <c r="S12" i="14" s="1"/>
  <c r="N10" i="14"/>
  <c r="S20" i="12"/>
  <c r="T21" i="12"/>
  <c r="L31" i="17" l="1"/>
  <c r="T10" i="17"/>
  <c r="V12" i="17"/>
  <c r="AI12" i="17" s="1"/>
  <c r="V14" i="17"/>
  <c r="AI14" i="17" s="1"/>
  <c r="M15" i="17"/>
  <c r="M13" i="17"/>
  <c r="M11" i="17"/>
  <c r="L13" i="14"/>
  <c r="S13" i="14" s="1"/>
  <c r="N11" i="14"/>
  <c r="L14" i="14"/>
  <c r="S14" i="14" s="1"/>
  <c r="N12" i="14"/>
  <c r="S21" i="12"/>
  <c r="T22" i="12"/>
  <c r="AL14" i="17" l="1"/>
  <c r="AM14" i="17" s="1"/>
  <c r="AK14" i="17"/>
  <c r="AL12" i="17"/>
  <c r="AM12" i="17" s="1"/>
  <c r="AK12" i="17"/>
  <c r="AH11" i="17"/>
  <c r="AC11" i="17"/>
  <c r="V10" i="17"/>
  <c r="AI10" i="17" s="1"/>
  <c r="AH15" i="17"/>
  <c r="AC15" i="17"/>
  <c r="T15" i="17"/>
  <c r="AH13" i="17"/>
  <c r="AC13" i="17"/>
  <c r="T13" i="17"/>
  <c r="N14" i="14"/>
  <c r="L15" i="14"/>
  <c r="S15" i="14" s="1"/>
  <c r="N13" i="14"/>
  <c r="T23" i="12"/>
  <c r="S22" i="12"/>
  <c r="AL10" i="17" l="1"/>
  <c r="AK10" i="17"/>
  <c r="T11" i="17"/>
  <c r="S31" i="17"/>
  <c r="AC31" i="17"/>
  <c r="V13" i="17"/>
  <c r="AI13" i="17" s="1"/>
  <c r="V15" i="17"/>
  <c r="AI15" i="17" s="1"/>
  <c r="AH31" i="17"/>
  <c r="N15" i="14"/>
  <c r="N31" i="14" s="1"/>
  <c r="L31" i="14" s="1"/>
  <c r="T24" i="12"/>
  <c r="S23" i="12"/>
  <c r="AL15" i="17" l="1"/>
  <c r="AM15" i="17" s="1"/>
  <c r="AK15" i="17"/>
  <c r="AL13" i="17"/>
  <c r="AM13" i="17" s="1"/>
  <c r="AK13" i="17"/>
  <c r="V11" i="17"/>
  <c r="V31" i="17" s="1"/>
  <c r="T31" i="17"/>
  <c r="AM10" i="17"/>
  <c r="S24" i="12"/>
  <c r="T25" i="12"/>
  <c r="U31" i="17" l="1"/>
  <c r="AI11" i="17"/>
  <c r="T26" i="12"/>
  <c r="S25" i="12"/>
  <c r="AL11" i="17" l="1"/>
  <c r="AK11" i="17"/>
  <c r="AK31" i="17" s="1"/>
  <c r="AI31" i="17"/>
  <c r="S26" i="12"/>
  <c r="S29" i="12" s="1"/>
  <c r="P29" i="12"/>
  <c r="T27" i="12"/>
  <c r="AM11" i="17" l="1"/>
  <c r="AL31" i="17"/>
  <c r="M14" i="14"/>
  <c r="M12" i="14"/>
  <c r="M10" i="14"/>
  <c r="T28" i="12"/>
  <c r="T29" i="12" s="1"/>
  <c r="Q29" i="12"/>
  <c r="M15" i="14" l="1"/>
  <c r="M13" i="14"/>
  <c r="M11" i="14"/>
  <c r="AH10" i="14"/>
  <c r="AC10" i="14"/>
  <c r="AH12" i="14"/>
  <c r="AC12" i="14"/>
  <c r="T12" i="14"/>
  <c r="V12" i="14" s="1"/>
  <c r="AH14" i="14"/>
  <c r="AC14" i="14"/>
  <c r="T14" i="14"/>
  <c r="V14" i="14" s="1"/>
  <c r="AI14" i="14" l="1"/>
  <c r="AH13" i="14"/>
  <c r="AC13" i="14"/>
  <c r="T13" i="14"/>
  <c r="V13" i="14" s="1"/>
  <c r="AI12" i="14"/>
  <c r="AH11" i="14"/>
  <c r="AC11" i="14"/>
  <c r="T11" i="14"/>
  <c r="V11" i="14" s="1"/>
  <c r="T10" i="14"/>
  <c r="AH15" i="14"/>
  <c r="AC15" i="14"/>
  <c r="T15" i="14"/>
  <c r="V15" i="14" s="1"/>
  <c r="AC31" i="14" l="1"/>
  <c r="AI13" i="14"/>
  <c r="AI11" i="14"/>
  <c r="V10" i="14"/>
  <c r="V31" i="14" s="1"/>
  <c r="T31" i="14"/>
  <c r="AL12" i="14"/>
  <c r="AM12" i="14" s="1"/>
  <c r="AK12" i="14"/>
  <c r="AL14" i="14"/>
  <c r="AM14" i="14" s="1"/>
  <c r="AK14" i="14"/>
  <c r="S31" i="14"/>
  <c r="AI15" i="14"/>
  <c r="AH31" i="14"/>
  <c r="U31" i="14" l="1"/>
  <c r="AI10" i="14"/>
  <c r="AL10" i="14" s="1"/>
  <c r="AM10" i="14" s="1"/>
  <c r="AK15" i="14"/>
  <c r="AL15" i="14"/>
  <c r="AK11" i="14"/>
  <c r="AL11" i="14"/>
  <c r="AM11" i="14" s="1"/>
  <c r="AL13" i="14"/>
  <c r="AM13" i="14" s="1"/>
  <c r="AK13" i="14"/>
  <c r="AI31" i="14" l="1"/>
  <c r="AK10" i="14"/>
  <c r="AK31" i="14" s="1"/>
  <c r="AL31" i="14"/>
  <c r="AM15" i="14"/>
</calcChain>
</file>

<file path=xl/sharedStrings.xml><?xml version="1.0" encoding="utf-8"?>
<sst xmlns="http://schemas.openxmlformats.org/spreadsheetml/2006/main" count="319" uniqueCount="142">
  <si>
    <t>Total</t>
  </si>
  <si>
    <t>etc.</t>
  </si>
  <si>
    <t>B</t>
  </si>
  <si>
    <t>(1)</t>
  </si>
  <si>
    <t>(6) = (4) * (5)</t>
  </si>
  <si>
    <t>(11) = (6) * (7) * (9)</t>
  </si>
  <si>
    <t>(13) = (11) + (12)</t>
  </si>
  <si>
    <t>(20) = (17) * (18) * (5) + (17) * (1 - (18))</t>
  </si>
  <si>
    <t>(22) = (6) * (21) * (10)</t>
  </si>
  <si>
    <t>(23) = ((3) - ((4) * (1- (5)))) * (10)</t>
  </si>
  <si>
    <t>(24) = (13) + (15) + (19) + (22) - (23) + (20) - (17)</t>
  </si>
  <si>
    <t>(26) = (25) - (24)</t>
  </si>
  <si>
    <t>(27) = max(0, (24) - (25))</t>
  </si>
  <si>
    <t>(28) = (25) + (27)</t>
  </si>
  <si>
    <t>(25) = (1) - (2) - (17)</t>
  </si>
  <si>
    <t>(7) = (3) * (1 + (5)) ^ - ((4) - (0,5 - (6)))</t>
  </si>
  <si>
    <t>(9) = (3) * (1 + (5)) ^ - ((4) - (0,5 - (8)))</t>
  </si>
  <si>
    <t>(6) = (3) * (1 + (5)) ^ - (2)</t>
  </si>
  <si>
    <t>(7) = (4) * (1 + (5)) ^ - (2)</t>
  </si>
  <si>
    <t>(12) = (6) * (7) * (8) * (9)</t>
  </si>
  <si>
    <t>Société d'assurances ABC du Canada</t>
  </si>
  <si>
    <t>Annexe A</t>
  </si>
  <si>
    <t>Feuille 1</t>
  </si>
  <si>
    <t>Feuille 2</t>
  </si>
  <si>
    <t>Feuille 3</t>
  </si>
  <si>
    <t>Analyse de l'élément de perte - Approche de la MRP</t>
  </si>
  <si>
    <t>Au 31 décembre 2023</t>
  </si>
  <si>
    <t>(milliers)</t>
  </si>
  <si>
    <t>(1) De la société</t>
  </si>
  <si>
    <t xml:space="preserve">Groupes de contrats </t>
  </si>
  <si>
    <t>Année d'entrée en vigueur</t>
  </si>
  <si>
    <t>Ajustement au titre des annulations</t>
  </si>
  <si>
    <t>Ratio de perte des sinistres attendus</t>
  </si>
  <si>
    <t>Facteur d'actualisation  - Primes</t>
  </si>
  <si>
    <t>Proportion des frais d'acquisition variables</t>
  </si>
  <si>
    <t>Primes à recevoir - Actualisées</t>
  </si>
  <si>
    <t>Flux de trésorerie d'exécution</t>
  </si>
  <si>
    <t>Profit / Perte</t>
  </si>
  <si>
    <t>Élément de perte</t>
  </si>
  <si>
    <t>PCR total dans les états financiers</t>
  </si>
  <si>
    <t>Groupe B23</t>
  </si>
  <si>
    <t>Groupe A24</t>
  </si>
  <si>
    <t>Groupe A23</t>
  </si>
  <si>
    <t>Groupe B24</t>
  </si>
  <si>
    <t>Groupe C23</t>
  </si>
  <si>
    <t>(3) De la société</t>
  </si>
  <si>
    <t>(1) De la société.</t>
  </si>
  <si>
    <t>(3) De la société.</t>
  </si>
  <si>
    <t>(4) = (1) + (3) - (2). Représente les primes acquises futures attendues  (y compris les polices émises à l'avance).</t>
  </si>
  <si>
    <t>(5) Facteur des annulations futures attendues</t>
  </si>
  <si>
    <t>(8) De la société</t>
  </si>
  <si>
    <t>(9) De l'Annexe B</t>
  </si>
  <si>
    <t>(10) De l'Annexe B</t>
  </si>
  <si>
    <t>(7) De la société, à partir de l’exercice du ratio sinistres-primes projeté</t>
  </si>
  <si>
    <t>Annexe</t>
  </si>
  <si>
    <t>Feuille</t>
  </si>
  <si>
    <t>Actualisation des primes</t>
  </si>
  <si>
    <t>Âge
(Mois)</t>
  </si>
  <si>
    <t>Courbe d'actualisation</t>
  </si>
  <si>
    <t>Durée</t>
  </si>
  <si>
    <t>Groupe A</t>
  </si>
  <si>
    <t>(1) Âge de matérialisation correspondant à l'année de survenance</t>
  </si>
  <si>
    <t>(1) Mois</t>
  </si>
  <si>
    <t>(2) Milieu du mois</t>
  </si>
  <si>
    <t>(5) Courbe d'actualisation choisie</t>
  </si>
  <si>
    <t>Feuille 5</t>
  </si>
  <si>
    <t>Feuille 6</t>
  </si>
  <si>
    <t>Feuille 4</t>
  </si>
  <si>
    <t>Au 30 juin 2024</t>
  </si>
  <si>
    <t>Autres coûts attribuables (%)</t>
  </si>
  <si>
    <t>Primes reçues</t>
  </si>
  <si>
    <t>Primes à recevoir</t>
  </si>
  <si>
    <t>Primes directes non acquises</t>
  </si>
  <si>
    <t>Facteur d'actualisation - Primes</t>
  </si>
  <si>
    <t>(9) De l'annexe B</t>
  </si>
  <si>
    <t>(10) De l'annexe B</t>
  </si>
  <si>
    <t>Parallélogramme</t>
  </si>
  <si>
    <t>AS</t>
  </si>
  <si>
    <t>DMS</t>
  </si>
  <si>
    <t>Orange (année d'entrée en vigueur 2023) : Date moyenne de survenance (DMS) = 0,333</t>
  </si>
  <si>
    <t>Bleu (Année d'entrée en vigueur 2024) : DMS = 0,58</t>
  </si>
  <si>
    <t>Orange (année d'entrée en vigueur 2023) :  DMS = 0,17</t>
  </si>
  <si>
    <t>Groupe C24</t>
  </si>
  <si>
    <t>(2) De la société. Revenu cumulatif des primes à la date d'évaluation.</t>
  </si>
  <si>
    <t>(19) = (4) * (16) * (18) * (5) + (4) * (16) * (1 - (18)) Non actualisés par souci de simplification.</t>
  </si>
  <si>
    <t>Modèle de revenu de primes - Année d'entrée en vigueur 2023</t>
  </si>
  <si>
    <t>Facteur d'actualisation - Année d'entrée en vigueur 2023</t>
  </si>
  <si>
    <t xml:space="preserve"> Facteur d'actualisation - Année d'entrée en vigueur 2024</t>
  </si>
  <si>
    <t>(2) À partir de l'analyse du passif des sinistres</t>
  </si>
  <si>
    <r>
      <t>(4)</t>
    </r>
    <r>
      <rPr>
        <sz val="11"/>
        <color indexed="8"/>
        <rFont val="Calibri"/>
        <family val="2"/>
      </rPr>
      <t xml:space="preserve"> On suppose que toutes les polices ont une durée de 12 mois (revenus égaux et paiements à la mi-période)</t>
    </r>
  </si>
  <si>
    <t>Modèle de revenu de primes -  Année d'entrée en vigueur 2023</t>
  </si>
  <si>
    <t>Facteur d'actualisation -  Année d'entrée en vigueur 2023</t>
  </si>
  <si>
    <t>Modèle de revenu de primes -  Année d'entrée en vigueur 2024</t>
  </si>
  <si>
    <t xml:space="preserve"> Facteur d'actualisation -  Année d'entrée en vigueur 2024</t>
  </si>
  <si>
    <t>(6) Date moyenne de survenance (DMS) à l’année d'entrée en vigueur 2023. Pour plus de détails, voir l'onglet du parallélogramme.</t>
  </si>
  <si>
    <t>(3) Modèle des revenus de primes - Année d'entrée en vigueur 2023. Voir l'onglet du parallélogramme pour plus de détails</t>
  </si>
  <si>
    <t>(4) Modèle des revenus de primes - Année d'entrée en vigueur 2024. Voir l'onglet du parallélogramme pour plus de détails</t>
  </si>
  <si>
    <t>Bleu (année d'entrée en vigueur 2024, polices en vigueur) : DMS = 0,39</t>
  </si>
  <si>
    <t>Vert (année d'entrée en vigueur 2024, polices émises à l'avance) : DMS = 0,58</t>
  </si>
  <si>
    <t>Bleu + Vert (année d'entrée en vigueur 2024) : DMS = 0,45</t>
  </si>
  <si>
    <t>PCR selon la MRP (à l'exception de l'élément de perte)</t>
  </si>
  <si>
    <t>(8) DMS de l'année d'entrée en vigueur 2024. L'exemple suppose un décalage de deux mois entre la date d'émission de la police et la date de son entrée en vigueur.</t>
  </si>
  <si>
    <t>(5) Courbe d’actualisation choisie</t>
  </si>
  <si>
    <t>Autres coûts attribuables ($) - Actualisés</t>
  </si>
  <si>
    <t>PCR selon  la MRP à l'exception de l'élément de perte)</t>
  </si>
  <si>
    <t>(4) = (1) + (3) - (2). Représente les primes acquises futures attendues (y compris les polices émises à l'avance).</t>
  </si>
  <si>
    <t>FR: Frais qui sont directement imputables au règlement des sinistres</t>
  </si>
  <si>
    <t>Base directe</t>
  </si>
  <si>
    <t>Produit des activités d'assurance</t>
  </si>
  <si>
    <t>Primes directes non acquises nettes des annulations</t>
  </si>
  <si>
    <t>Ratio de frais internes de règlements</t>
  </si>
  <si>
    <t>Facteur d'actualisation - Sinistres</t>
  </si>
  <si>
    <t>Sinistres actualisés</t>
  </si>
  <si>
    <t>Frais internes de règlements actualisés</t>
  </si>
  <si>
    <t>Sinistres et frais internes de règlements actualisés</t>
  </si>
  <si>
    <t>Ajustement au titre du risque non financier (%)</t>
  </si>
  <si>
    <t>Ajustement au titre du risque non financier ($)</t>
  </si>
  <si>
    <t>Frais d'acquisition futurs (%) - nets des annulations</t>
  </si>
  <si>
    <t>Frais d'acquisition futurs - nets des annulations</t>
  </si>
  <si>
    <t>Frais d'acquisition futurs ($) - nets des annulations</t>
  </si>
  <si>
    <t>Frais d'acquisition reportés - nets des annulations</t>
  </si>
  <si>
    <t>(14) De l'analyse de l'ajustement au titre du risque non financier</t>
  </si>
  <si>
    <t>(16) Du département des Finances. En % des primes non acquises. Tient compte des frais d'acquisition futurs pour les polices émises à l'avance.</t>
  </si>
  <si>
    <t>(18) Du département des Finances</t>
  </si>
  <si>
    <t>(21) Du département des Finances</t>
  </si>
  <si>
    <t>(17) Du département des Finances. On supposera par la suite que les frais d'acquisition variables, comme les commissions, sont remboursés sur la fraction annulée des primes.</t>
  </si>
  <si>
    <t>Actualisation des sinistres pour l'élément de perte</t>
  </si>
  <si>
    <t>(3) Cadence incrémentale de paiements selon (2)</t>
  </si>
  <si>
    <t>Modèle de revenu de primes - Année d'entrée en vigueur 2024</t>
  </si>
  <si>
    <t>Date moyenne des paiements (années)</t>
  </si>
  <si>
    <t>DMS des sinistres  - Année d'entrée en vigueur 2023</t>
  </si>
  <si>
    <t>DMS des sinistres - Année d'entrée en vigueur 2024</t>
  </si>
  <si>
    <t>Facteur d'actualisation - Sinistres - Année d'entrée en vigueur 2024</t>
  </si>
  <si>
    <t>Facteur d'actualisation - Sinistres -Année d'entrée en vigueur 2023</t>
  </si>
  <si>
    <t>Cadence cumulative de paiements (année de survenance future)</t>
  </si>
  <si>
    <t>Cadence incrémentale de paiements (année de survenance future)</t>
  </si>
  <si>
    <t>Année eff. 2023</t>
  </si>
  <si>
    <t>Année eff. 2024</t>
  </si>
  <si>
    <t>Année eff. 2024 - Polices en vigueur</t>
  </si>
  <si>
    <t>Année eff. 2024 - Polices futures</t>
  </si>
  <si>
    <t>Égal aux primes non acquises (pour les polices en vigueur) pour les sociétés dont les primes sont payées à l'avance.</t>
  </si>
  <si>
    <t>(15) = (13) * (14), en supposant que le pourcentage de l'AR est exprimé en % des sinistres et des frais internes de règlements actualisés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</si>
</sst>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)_ ;_ * \(#,##0.00\)_ ;_ * &quot;-&quot;??_)_ ;_ @_ "/>
    <numFmt numFmtId="165" formatCode="#,##0_);\(#,##0\);\–_);&quot;–&quot;_)"/>
    <numFmt numFmtId="166" formatCode="0.0%_);\(0.0%\);&quot;–&quot;_)"/>
    <numFmt numFmtId="167" formatCode="0.00%_);\(0.00%\);&quot;–&quot;_)"/>
    <numFmt numFmtId="168" formatCode="#,##0.000_);\(#,##0.000\);\–_);&quot;–&quot;_)"/>
    <numFmt numFmtId="169" formatCode="0.0%"/>
    <numFmt numFmtId="170" formatCode="#,##0.000"/>
    <numFmt numFmtId="171" formatCode="[$-1009]d\-mmm\-yy;@"/>
    <numFmt numFmtId="172" formatCode="#,##0;\(#,##0\)"/>
    <numFmt numFmtId="173" formatCode="_-* #,##0_-;\-* #,##0_-;_-* &quot;-&quot;??_-;_-@_-"/>
    <numFmt numFmtId="174" formatCode="#,##0.00;\(#,##0.00\)"/>
    <numFmt numFmtId="175" formatCode="#,##0.00_);\(#,##0.00\);\–_);&quot;–&quot;_)"/>
    <numFmt numFmtId="176" formatCode="#,##0\ ;\(#,##0\)\ "/>
    <numFmt numFmtId="177" formatCode="_-* #,##0.000_-;\-* #,##0.000_-;_-* &quot;-&quot;??_-;_-@_-"/>
    <numFmt numFmtId="178" formatCode="#,##0.0_);\(#,##0.0\);\–_);&quot;–&quot;_)"/>
  </numFmts>
  <fonts count="19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/>
    <xf numFmtId="169" fontId="0" fillId="0" borderId="0" xfId="0" applyNumberFormat="1"/>
    <xf numFmtId="0" fontId="0" fillId="0" borderId="2" xfId="0" applyFill="1" applyBorder="1"/>
    <xf numFmtId="0" fontId="2" fillId="0" borderId="0" xfId="3" applyFont="1" applyFill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3" applyFont="1" applyFill="1" applyAlignment="1">
      <alignment horizontal="right"/>
    </xf>
    <xf numFmtId="0" fontId="12" fillId="0" borderId="0" xfId="0" applyFont="1" applyAlignment="1">
      <alignment horizontal="left"/>
    </xf>
    <xf numFmtId="171" fontId="12" fillId="0" borderId="0" xfId="0" applyNumberFormat="1" applyFont="1" applyAlignment="1">
      <alignment horizontal="right"/>
    </xf>
    <xf numFmtId="171" fontId="2" fillId="0" borderId="0" xfId="3" applyNumberFormat="1" applyFont="1" applyFill="1" applyAlignment="1">
      <alignment horizontal="right"/>
    </xf>
    <xf numFmtId="172" fontId="6" fillId="0" borderId="3" xfId="0" quotePrefix="1" applyNumberFormat="1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7" fontId="0" fillId="0" borderId="0" xfId="0" applyNumberFormat="1"/>
    <xf numFmtId="172" fontId="0" fillId="0" borderId="0" xfId="0" applyNumberFormat="1"/>
    <xf numFmtId="172" fontId="0" fillId="0" borderId="0" xfId="0" quotePrefix="1" applyNumberFormat="1" applyAlignment="1">
      <alignment horizontal="right"/>
    </xf>
    <xf numFmtId="173" fontId="0" fillId="0" borderId="0" xfId="2" applyNumberFormat="1" applyFont="1"/>
    <xf numFmtId="10" fontId="2" fillId="0" borderId="0" xfId="1" applyNumberFormat="1" applyFont="1"/>
    <xf numFmtId="173" fontId="2" fillId="0" borderId="0" xfId="2" applyNumberFormat="1" applyFont="1"/>
    <xf numFmtId="170" fontId="0" fillId="0" borderId="0" xfId="0" applyNumberFormat="1" applyAlignment="1">
      <alignment horizontal="right"/>
    </xf>
    <xf numFmtId="10" fontId="2" fillId="0" borderId="0" xfId="1" quotePrefix="1" applyNumberFormat="1" applyFont="1" applyAlignment="1">
      <alignment horizontal="right"/>
    </xf>
    <xf numFmtId="37" fontId="6" fillId="0" borderId="1" xfId="0" applyNumberFormat="1" applyFont="1" applyBorder="1"/>
    <xf numFmtId="172" fontId="6" fillId="0" borderId="1" xfId="0" applyNumberFormat="1" applyFont="1" applyBorder="1"/>
    <xf numFmtId="10" fontId="7" fillId="0" borderId="1" xfId="1" applyNumberFormat="1" applyFont="1" applyBorder="1"/>
    <xf numFmtId="0" fontId="6" fillId="0" borderId="0" xfId="0" applyFont="1"/>
    <xf numFmtId="166" fontId="1" fillId="0" borderId="0" xfId="0" quotePrefix="1" applyNumberFormat="1" applyFont="1" applyAlignment="1">
      <alignment horizontal="right"/>
    </xf>
    <xf numFmtId="166" fontId="1" fillId="0" borderId="0" xfId="0" applyNumberFormat="1" applyFont="1"/>
    <xf numFmtId="172" fontId="1" fillId="0" borderId="0" xfId="0" applyNumberFormat="1" applyFont="1"/>
    <xf numFmtId="174" fontId="1" fillId="0" borderId="0" xfId="0" applyNumberFormat="1" applyFont="1"/>
    <xf numFmtId="37" fontId="1" fillId="0" borderId="0" xfId="0" applyNumberFormat="1" applyFont="1"/>
    <xf numFmtId="0" fontId="1" fillId="0" borderId="0" xfId="0" applyNumberFormat="1" applyFont="1" applyAlignment="1">
      <alignment horizontal="center"/>
    </xf>
    <xf numFmtId="168" fontId="5" fillId="0" borderId="0" xfId="0" quotePrefix="1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6" fontId="1" fillId="0" borderId="0" xfId="0" applyNumberFormat="1" applyFont="1" applyAlignment="1">
      <alignment horizontal="right"/>
    </xf>
    <xf numFmtId="172" fontId="13" fillId="0" borderId="0" xfId="0" applyNumberFormat="1" applyFont="1"/>
    <xf numFmtId="175" fontId="6" fillId="0" borderId="1" xfId="0" applyNumberFormat="1" applyFont="1" applyBorder="1"/>
    <xf numFmtId="10" fontId="1" fillId="0" borderId="0" xfId="1" applyNumberFormat="1" applyFont="1"/>
    <xf numFmtId="166" fontId="1" fillId="0" borderId="0" xfId="2" applyNumberFormat="1" applyFont="1"/>
    <xf numFmtId="0" fontId="9" fillId="0" borderId="0" xfId="4" applyFont="1" applyAlignment="1">
      <alignment horizontal="right"/>
    </xf>
    <xf numFmtId="0" fontId="9" fillId="0" borderId="0" xfId="4" applyFont="1"/>
    <xf numFmtId="0" fontId="9" fillId="0" borderId="0" xfId="0" applyFont="1"/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/>
    <xf numFmtId="0" fontId="3" fillId="0" borderId="0" xfId="4" applyFont="1" applyAlignment="1">
      <alignment horizontal="right"/>
    </xf>
    <xf numFmtId="0" fontId="3" fillId="0" borderId="0" xfId="4" applyFont="1"/>
    <xf numFmtId="0" fontId="3" fillId="0" borderId="0" xfId="0" applyFont="1"/>
    <xf numFmtId="0" fontId="3" fillId="0" borderId="0" xfId="4" applyFont="1" applyAlignment="1">
      <alignment horizontal="left"/>
    </xf>
    <xf numFmtId="0" fontId="6" fillId="0" borderId="3" xfId="4" quotePrefix="1" applyFont="1" applyBorder="1" applyAlignment="1">
      <alignment horizontal="center"/>
    </xf>
    <xf numFmtId="176" fontId="6" fillId="0" borderId="3" xfId="4" quotePrefix="1" applyNumberFormat="1" applyFont="1" applyBorder="1" applyAlignment="1">
      <alignment horizontal="center"/>
    </xf>
    <xf numFmtId="0" fontId="6" fillId="0" borderId="3" xfId="4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16" fillId="0" borderId="0" xfId="4" applyFont="1" applyAlignment="1">
      <alignment horizontal="left"/>
    </xf>
    <xf numFmtId="0" fontId="3" fillId="0" borderId="0" xfId="4" quotePrefix="1" applyFont="1" applyAlignment="1">
      <alignment horizontal="center"/>
    </xf>
    <xf numFmtId="0" fontId="3" fillId="0" borderId="0" xfId="0" applyFont="1" applyAlignment="1">
      <alignment horizontal="center"/>
    </xf>
    <xf numFmtId="169" fontId="3" fillId="0" borderId="0" xfId="2" applyNumberFormat="1"/>
    <xf numFmtId="177" fontId="3" fillId="0" borderId="0" xfId="2" applyNumberFormat="1"/>
    <xf numFmtId="0" fontId="3" fillId="0" borderId="0" xfId="4" applyFont="1" applyAlignment="1">
      <alignment horizontal="center"/>
    </xf>
    <xf numFmtId="0" fontId="3" fillId="0" borderId="0" xfId="2" applyNumberFormat="1" applyAlignment="1">
      <alignment horizontal="center"/>
    </xf>
    <xf numFmtId="177" fontId="3" fillId="0" borderId="0" xfId="2" applyNumberFormat="1" applyAlignment="1">
      <alignment horizontal="center"/>
    </xf>
    <xf numFmtId="169" fontId="1" fillId="0" borderId="0" xfId="2" applyNumberFormat="1" applyFont="1"/>
    <xf numFmtId="169" fontId="1" fillId="0" borderId="0" xfId="4" applyNumberFormat="1" applyFont="1"/>
    <xf numFmtId="0" fontId="3" fillId="0" borderId="0" xfId="4" applyFont="1" applyBorder="1"/>
    <xf numFmtId="0" fontId="3" fillId="0" borderId="2" xfId="4" applyFont="1" applyFill="1" applyBorder="1" applyAlignment="1">
      <alignment horizontal="center"/>
    </xf>
    <xf numFmtId="169" fontId="1" fillId="0" borderId="2" xfId="4" applyNumberFormat="1" applyFont="1" applyFill="1" applyBorder="1"/>
    <xf numFmtId="169" fontId="3" fillId="0" borderId="2" xfId="2" applyNumberFormat="1" applyFill="1" applyBorder="1"/>
    <xf numFmtId="0" fontId="6" fillId="0" borderId="0" xfId="4" applyFont="1" applyBorder="1" applyAlignment="1">
      <alignment horizontal="right"/>
    </xf>
    <xf numFmtId="168" fontId="3" fillId="0" borderId="0" xfId="5" applyNumberFormat="1" applyFont="1" applyAlignment="1"/>
    <xf numFmtId="168" fontId="3" fillId="0" borderId="2" xfId="5" applyNumberFormat="1" applyFont="1" applyFill="1" applyBorder="1" applyAlignment="1"/>
    <xf numFmtId="168" fontId="6" fillId="0" borderId="0" xfId="2" applyNumberFormat="1" applyFont="1" applyBorder="1" applyAlignment="1"/>
    <xf numFmtId="177" fontId="1" fillId="0" borderId="0" xfId="2" applyNumberFormat="1" applyFont="1"/>
    <xf numFmtId="177" fontId="1" fillId="0" borderId="2" xfId="2" applyNumberFormat="1" applyFont="1" applyFill="1" applyBorder="1"/>
    <xf numFmtId="0" fontId="6" fillId="0" borderId="0" xfId="4" applyFont="1" applyBorder="1" applyAlignment="1">
      <alignment horizontal="center"/>
    </xf>
    <xf numFmtId="168" fontId="1" fillId="0" borderId="0" xfId="0" quotePrefix="1" applyNumberFormat="1" applyFont="1" applyAlignment="1">
      <alignment horizontal="right"/>
    </xf>
    <xf numFmtId="166" fontId="1" fillId="0" borderId="0" xfId="4" applyNumberFormat="1" applyFont="1"/>
    <xf numFmtId="0" fontId="3" fillId="0" borderId="0" xfId="0" applyFont="1" applyBorder="1"/>
    <xf numFmtId="0" fontId="3" fillId="0" borderId="2" xfId="4" quotePrefix="1" applyFont="1" applyFill="1" applyBorder="1" applyAlignment="1">
      <alignment horizontal="center"/>
    </xf>
    <xf numFmtId="177" fontId="1" fillId="0" borderId="0" xfId="2" applyNumberFormat="1" applyFont="1" applyFill="1" applyBorder="1"/>
    <xf numFmtId="168" fontId="3" fillId="0" borderId="0" xfId="5" applyNumberFormat="1" applyFont="1" applyFill="1" applyBorder="1" applyAlignment="1"/>
    <xf numFmtId="166" fontId="3" fillId="0" borderId="0" xfId="4" applyNumberFormat="1" applyFont="1" applyBorder="1"/>
    <xf numFmtId="169" fontId="6" fillId="0" borderId="0" xfId="4" applyNumberFormat="1" applyFont="1" applyBorder="1"/>
    <xf numFmtId="166" fontId="6" fillId="0" borderId="0" xfId="4" applyNumberFormat="1" applyFont="1" applyBorder="1"/>
    <xf numFmtId="177" fontId="13" fillId="0" borderId="0" xfId="2" applyNumberFormat="1" applyFont="1"/>
    <xf numFmtId="177" fontId="13" fillId="0" borderId="2" xfId="2" applyNumberFormat="1" applyFont="1" applyFill="1" applyBorder="1"/>
    <xf numFmtId="175" fontId="3" fillId="0" borderId="0" xfId="0" applyNumberFormat="1" applyFont="1" applyAlignment="1">
      <alignment horizontal="center"/>
    </xf>
    <xf numFmtId="175" fontId="3" fillId="0" borderId="2" xfId="0" applyNumberFormat="1" applyFont="1" applyFill="1" applyBorder="1" applyAlignment="1">
      <alignment horizontal="center"/>
    </xf>
    <xf numFmtId="166" fontId="1" fillId="0" borderId="2" xfId="4" applyNumberFormat="1" applyFont="1" applyFill="1" applyBorder="1"/>
    <xf numFmtId="166" fontId="1" fillId="0" borderId="2" xfId="0" applyNumberFormat="1" applyFont="1" applyFill="1" applyBorder="1"/>
    <xf numFmtId="0" fontId="10" fillId="0" borderId="0" xfId="0" applyFont="1" applyFill="1" applyAlignment="1">
      <alignment horizontal="left"/>
    </xf>
    <xf numFmtId="165" fontId="13" fillId="0" borderId="0" xfId="0" applyNumberFormat="1" applyFont="1"/>
    <xf numFmtId="165" fontId="1" fillId="0" borderId="0" xfId="0" applyNumberFormat="1" applyFont="1" applyAlignment="1">
      <alignment horizontal="center"/>
    </xf>
    <xf numFmtId="165" fontId="0" fillId="0" borderId="0" xfId="0" applyNumberFormat="1"/>
    <xf numFmtId="175" fontId="0" fillId="0" borderId="0" xfId="0" applyNumberFormat="1" applyAlignment="1">
      <alignment horizontal="center"/>
    </xf>
    <xf numFmtId="0" fontId="17" fillId="0" borderId="0" xfId="0" applyFont="1"/>
    <xf numFmtId="0" fontId="6" fillId="0" borderId="0" xfId="0" applyFont="1" applyAlignment="1">
      <alignment wrapText="1"/>
    </xf>
    <xf numFmtId="4" fontId="6" fillId="3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quotePrefix="1"/>
    <xf numFmtId="37" fontId="13" fillId="0" borderId="0" xfId="0" applyNumberFormat="1" applyFont="1"/>
    <xf numFmtId="0" fontId="13" fillId="0" borderId="0" xfId="0" applyNumberFormat="1" applyFont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4" applyFont="1"/>
    <xf numFmtId="0" fontId="3" fillId="0" borderId="0" xfId="4" quotePrefix="1" applyFont="1"/>
    <xf numFmtId="0" fontId="3" fillId="0" borderId="0" xfId="4" quotePrefix="1" applyFont="1" applyFill="1"/>
    <xf numFmtId="10" fontId="3" fillId="0" borderId="0" xfId="0" applyNumberFormat="1" applyFont="1"/>
    <xf numFmtId="39" fontId="0" fillId="0" borderId="0" xfId="0" applyNumberFormat="1"/>
    <xf numFmtId="0" fontId="6" fillId="0" borderId="0" xfId="0" applyFont="1" applyAlignment="1">
      <alignment horizontal="center" wrapText="1"/>
    </xf>
    <xf numFmtId="178" fontId="0" fillId="0" borderId="0" xfId="0" applyNumberFormat="1" applyAlignment="1">
      <alignment horizontal="center"/>
    </xf>
    <xf numFmtId="175" fontId="6" fillId="0" borderId="0" xfId="0" applyNumberFormat="1" applyFont="1" applyAlignment="1">
      <alignment horizontal="center"/>
    </xf>
    <xf numFmtId="167" fontId="0" fillId="0" borderId="0" xfId="0" applyNumberFormat="1" applyFont="1"/>
    <xf numFmtId="166" fontId="0" fillId="0" borderId="0" xfId="0" applyNumberFormat="1" applyFont="1"/>
    <xf numFmtId="0" fontId="9" fillId="0" borderId="0" xfId="4" applyFont="1" applyFill="1" applyAlignment="1">
      <alignment horizontal="right"/>
    </xf>
    <xf numFmtId="0" fontId="9" fillId="0" borderId="0" xfId="4" applyFont="1" applyFill="1"/>
    <xf numFmtId="0" fontId="9" fillId="0" borderId="0" xfId="0" applyFont="1" applyFill="1" applyAlignment="1">
      <alignment horizontal="right"/>
    </xf>
    <xf numFmtId="0" fontId="14" fillId="0" borderId="0" xfId="0" applyFont="1" applyFill="1" applyAlignment="1">
      <alignment horizontal="left"/>
    </xf>
    <xf numFmtId="0" fontId="9" fillId="0" borderId="0" xfId="0" applyFont="1" applyFill="1"/>
    <xf numFmtId="0" fontId="4" fillId="0" borderId="0" xfId="0" applyFont="1" applyFill="1"/>
    <xf numFmtId="0" fontId="9" fillId="0" borderId="0" xfId="0" applyFont="1" applyFill="1" applyAlignment="1">
      <alignment horizontal="left"/>
    </xf>
    <xf numFmtId="0" fontId="15" fillId="0" borderId="0" xfId="0" applyFont="1" applyFill="1"/>
    <xf numFmtId="0" fontId="3" fillId="0" borderId="0" xfId="4" applyFont="1" applyFill="1" applyAlignment="1">
      <alignment horizontal="left"/>
    </xf>
    <xf numFmtId="0" fontId="3" fillId="0" borderId="0" xfId="4" applyFont="1" applyFill="1"/>
    <xf numFmtId="0" fontId="3" fillId="0" borderId="0" xfId="0" applyFont="1" applyFill="1"/>
    <xf numFmtId="0" fontId="6" fillId="0" borderId="0" xfId="0" applyFont="1" applyFill="1"/>
    <xf numFmtId="0" fontId="3" fillId="0" borderId="0" xfId="4" applyFont="1" applyFill="1" applyAlignment="1">
      <alignment horizontal="right"/>
    </xf>
    <xf numFmtId="0" fontId="6" fillId="0" borderId="3" xfId="4" quotePrefix="1" applyFont="1" applyFill="1" applyBorder="1" applyAlignment="1">
      <alignment horizontal="center"/>
    </xf>
    <xf numFmtId="176" fontId="6" fillId="0" borderId="3" xfId="4" quotePrefix="1" applyNumberFormat="1" applyFont="1" applyFill="1" applyBorder="1" applyAlignment="1">
      <alignment horizontal="center"/>
    </xf>
    <xf numFmtId="0" fontId="6" fillId="0" borderId="3" xfId="4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4" applyFont="1" applyFill="1" applyAlignment="1">
      <alignment horizontal="center" vertical="center" wrapText="1"/>
    </xf>
    <xf numFmtId="0" fontId="16" fillId="0" borderId="0" xfId="4" applyFont="1" applyFill="1" applyAlignment="1">
      <alignment horizontal="left"/>
    </xf>
    <xf numFmtId="0" fontId="3" fillId="0" borderId="0" xfId="4" quotePrefix="1" applyFont="1" applyFill="1" applyAlignment="1">
      <alignment horizontal="center"/>
    </xf>
    <xf numFmtId="169" fontId="1" fillId="0" borderId="0" xfId="2" applyNumberFormat="1" applyFont="1" applyFill="1"/>
    <xf numFmtId="169" fontId="3" fillId="0" borderId="0" xfId="2" applyNumberFormat="1" applyFill="1"/>
    <xf numFmtId="0" fontId="3" fillId="0" borderId="0" xfId="0" applyFont="1" applyFill="1" applyAlignment="1">
      <alignment horizontal="center"/>
    </xf>
    <xf numFmtId="10" fontId="1" fillId="0" borderId="0" xfId="5" applyNumberFormat="1" applyFont="1" applyFill="1" applyAlignment="1">
      <alignment horizontal="center"/>
    </xf>
    <xf numFmtId="177" fontId="1" fillId="0" borderId="0" xfId="2" applyNumberFormat="1" applyFont="1" applyFill="1"/>
    <xf numFmtId="168" fontId="3" fillId="0" borderId="0" xfId="5" applyNumberFormat="1" applyFont="1" applyFill="1" applyAlignment="1"/>
    <xf numFmtId="10" fontId="3" fillId="0" borderId="0" xfId="0" applyNumberFormat="1" applyFont="1" applyFill="1"/>
    <xf numFmtId="175" fontId="3" fillId="0" borderId="0" xfId="0" applyNumberFormat="1" applyFont="1" applyFill="1" applyAlignment="1">
      <alignment horizontal="center"/>
    </xf>
    <xf numFmtId="166" fontId="1" fillId="0" borderId="0" xfId="4" applyNumberFormat="1" applyFont="1" applyFill="1"/>
    <xf numFmtId="167" fontId="1" fillId="0" borderId="0" xfId="4" applyNumberFormat="1" applyFont="1" applyFill="1"/>
    <xf numFmtId="177" fontId="13" fillId="0" borderId="0" xfId="2" applyNumberFormat="1" applyFont="1" applyFill="1"/>
    <xf numFmtId="10" fontId="1" fillId="0" borderId="0" xfId="2" applyNumberFormat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2" applyNumberFormat="1" applyFill="1" applyAlignment="1">
      <alignment horizontal="center"/>
    </xf>
    <xf numFmtId="166" fontId="1" fillId="0" borderId="0" xfId="2" applyNumberFormat="1" applyFont="1" applyFill="1"/>
    <xf numFmtId="169" fontId="1" fillId="0" borderId="0" xfId="4" applyNumberFormat="1" applyFont="1" applyFill="1"/>
    <xf numFmtId="10" fontId="1" fillId="0" borderId="2" xfId="2" applyNumberFormat="1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169" fontId="6" fillId="0" borderId="0" xfId="4" applyNumberFormat="1" applyFont="1" applyFill="1" applyBorder="1"/>
    <xf numFmtId="166" fontId="6" fillId="0" borderId="0" xfId="4" applyNumberFormat="1" applyFont="1" applyFill="1" applyBorder="1"/>
    <xf numFmtId="0" fontId="3" fillId="0" borderId="0" xfId="4" applyFont="1" applyFill="1" applyBorder="1"/>
    <xf numFmtId="0" fontId="6" fillId="0" borderId="0" xfId="4" applyFont="1" applyFill="1" applyBorder="1" applyAlignment="1">
      <alignment horizontal="right"/>
    </xf>
    <xf numFmtId="168" fontId="6" fillId="0" borderId="0" xfId="2" applyNumberFormat="1" applyFont="1" applyFill="1" applyBorder="1" applyAlignment="1"/>
    <xf numFmtId="177" fontId="3" fillId="0" borderId="0" xfId="2" applyNumberFormat="1" applyFill="1"/>
    <xf numFmtId="177" fontId="3" fillId="0" borderId="0" xfId="2" applyNumberFormat="1" applyFill="1" applyAlignment="1">
      <alignment horizontal="center"/>
    </xf>
    <xf numFmtId="0" fontId="0" fillId="0" borderId="0" xfId="0" quotePrefix="1" applyFill="1"/>
    <xf numFmtId="0" fontId="0" fillId="0" borderId="0" xfId="4" applyFont="1" applyFill="1"/>
    <xf numFmtId="167" fontId="1" fillId="0" borderId="2" xfId="0" applyNumberFormat="1" applyFont="1" applyFill="1" applyBorder="1"/>
    <xf numFmtId="166" fontId="3" fillId="0" borderId="0" xfId="4" applyNumberFormat="1" applyFont="1" applyFill="1" applyBorder="1"/>
    <xf numFmtId="0" fontId="3" fillId="0" borderId="0" xfId="0" applyFont="1" applyFill="1" applyBorder="1"/>
    <xf numFmtId="172" fontId="6" fillId="0" borderId="3" xfId="0" quotePrefix="1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/>
    </xf>
    <xf numFmtId="172" fontId="13" fillId="0" borderId="0" xfId="0" applyNumberFormat="1" applyFont="1" applyFill="1"/>
    <xf numFmtId="37" fontId="0" fillId="0" borderId="0" xfId="0" applyNumberFormat="1" applyFill="1"/>
    <xf numFmtId="172" fontId="0" fillId="0" borderId="0" xfId="0" applyNumberFormat="1" applyFill="1"/>
    <xf numFmtId="172" fontId="0" fillId="0" borderId="0" xfId="0" quotePrefix="1" applyNumberFormat="1" applyFill="1" applyAlignment="1">
      <alignment horizontal="right"/>
    </xf>
    <xf numFmtId="169" fontId="0" fillId="0" borderId="0" xfId="0" applyNumberFormat="1" applyFill="1"/>
    <xf numFmtId="173" fontId="0" fillId="0" borderId="0" xfId="2" applyNumberFormat="1" applyFont="1" applyFill="1"/>
    <xf numFmtId="10" fontId="2" fillId="0" borderId="0" xfId="1" applyNumberFormat="1" applyFont="1" applyFill="1"/>
    <xf numFmtId="37" fontId="6" fillId="0" borderId="1" xfId="0" applyNumberFormat="1" applyFont="1" applyFill="1" applyBorder="1"/>
    <xf numFmtId="172" fontId="6" fillId="0" borderId="1" xfId="0" applyNumberFormat="1" applyFont="1" applyFill="1" applyBorder="1"/>
    <xf numFmtId="175" fontId="6" fillId="0" borderId="1" xfId="0" applyNumberFormat="1" applyFont="1" applyFill="1" applyBorder="1"/>
    <xf numFmtId="10" fontId="7" fillId="0" borderId="1" xfId="1" applyNumberFormat="1" applyFont="1" applyFill="1" applyBorder="1"/>
    <xf numFmtId="0" fontId="13" fillId="0" borderId="0" xfId="0" quotePrefix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171" fontId="12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center"/>
    </xf>
    <xf numFmtId="174" fontId="1" fillId="0" borderId="0" xfId="0" applyNumberFormat="1" applyFont="1" applyFill="1"/>
    <xf numFmtId="166" fontId="1" fillId="0" borderId="0" xfId="0" quotePrefix="1" applyNumberFormat="1" applyFont="1" applyFill="1" applyAlignment="1">
      <alignment horizontal="right"/>
    </xf>
    <xf numFmtId="166" fontId="1" fillId="0" borderId="0" xfId="0" applyNumberFormat="1" applyFont="1" applyFill="1"/>
    <xf numFmtId="168" fontId="5" fillId="0" borderId="0" xfId="0" quotePrefix="1" applyNumberFormat="1" applyFont="1" applyFill="1" applyAlignment="1">
      <alignment horizontal="right"/>
    </xf>
    <xf numFmtId="168" fontId="1" fillId="0" borderId="0" xfId="0" quotePrefix="1" applyNumberFormat="1" applyFont="1" applyFill="1" applyAlignment="1">
      <alignment horizontal="right"/>
    </xf>
    <xf numFmtId="172" fontId="1" fillId="0" borderId="0" xfId="0" applyNumberFormat="1" applyFont="1" applyFill="1"/>
    <xf numFmtId="165" fontId="0" fillId="0" borderId="0" xfId="0" applyNumberFormat="1" applyFill="1" applyAlignment="1">
      <alignment horizontal="right"/>
    </xf>
    <xf numFmtId="165" fontId="13" fillId="0" borderId="0" xfId="0" applyNumberFormat="1" applyFont="1" applyFill="1"/>
    <xf numFmtId="170" fontId="0" fillId="0" borderId="0" xfId="0" applyNumberFormat="1" applyFill="1" applyAlignment="1">
      <alignment horizontal="right"/>
    </xf>
  </cellXfs>
  <cellStyles count="6">
    <cellStyle name="Bad" xfId="3" builtinId="27"/>
    <cellStyle name="Comma" xfId="2" builtinId="3"/>
    <cellStyle name="Normal" xfId="0" builtinId="0"/>
    <cellStyle name="Normal_Copy of Kings.reserve.1205.Scenario 1 FINAL2" xfId="4" xr:uid="{2BA14CE3-5909-4E7D-A666-FF66AD307B4E}"/>
    <cellStyle name="Percent" xfId="1" builtinId="5"/>
    <cellStyle name="Percent 2" xfId="5" xr:uid="{822BE38C-3140-4779-AE88-C30087E1F1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5</xdr:row>
      <xdr:rowOff>6113</xdr:rowOff>
    </xdr:from>
    <xdr:to>
      <xdr:col>26</xdr:col>
      <xdr:colOff>257735</xdr:colOff>
      <xdr:row>31</xdr:row>
      <xdr:rowOff>93661</xdr:rowOff>
    </xdr:to>
    <xdr:sp macro="" textlink="">
      <xdr:nvSpPr>
        <xdr:cNvPr id="8" name="Content Placeholder 1">
          <a:extLst>
            <a:ext uri="{FF2B5EF4-FFF2-40B4-BE49-F238E27FC236}">
              <a16:creationId xmlns:a16="http://schemas.microsoft.com/office/drawing/2014/main" id="{D6683283-C03D-4D64-A84A-436E04D8E598}"/>
            </a:ext>
          </a:extLst>
        </xdr:cNvPr>
        <xdr:cNvSpPr>
          <a:spLocks noGrp="1"/>
        </xdr:cNvSpPr>
      </xdr:nvSpPr>
      <xdr:spPr>
        <a:xfrm>
          <a:off x="238126" y="958613"/>
          <a:ext cx="15752668" cy="5040548"/>
        </a:xfrm>
        <a:prstGeom prst="rect">
          <a:avLst/>
        </a:prstGeom>
      </xdr:spPr>
      <xdr:txBody>
        <a:bodyPr vert="horz" wrap="square" lIns="0" tIns="0" rIns="0" bIns="0" rtlCol="0">
          <a:normAutofit/>
        </a:bodyPr>
        <a:lstStyle>
          <a:lvl1pPr marL="176121" indent="-176121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1"/>
            </a:buClr>
            <a:buFont typeface="Wingdings" panose="05000000000000000000" pitchFamily="2" charset="2"/>
            <a:buChar char="§"/>
            <a:defRPr lang="fr-FR" sz="18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268148" indent="-179294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3"/>
            </a:buClr>
            <a:buFont typeface="Wingdings" panose="05000000000000000000" pitchFamily="2" charset="2"/>
            <a:buChar char="§"/>
            <a:defRPr lang="fr-FR" sz="16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360173" indent="-182467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2"/>
            </a:buClr>
            <a:buFont typeface="Wingdings" panose="05000000000000000000" pitchFamily="2" charset="2"/>
            <a:buChar char="§"/>
            <a:defRPr lang="fr-FR" sz="14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446088" indent="-173038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1"/>
            </a:buClr>
            <a:buFont typeface="Wingdings" panose="05000000000000000000" pitchFamily="2" charset="2"/>
            <a:buChar char="§"/>
            <a:defRPr lang="fr-FR" sz="12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538163" indent="-176213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3"/>
            </a:buClr>
            <a:buFont typeface="Wingdings" panose="05000000000000000000" pitchFamily="2" charset="2"/>
            <a:buChar char="§"/>
            <a:defRPr lang="fr-CA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3278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0238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7198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4157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buNone/>
          </a:pPr>
          <a:r>
            <a:rPr lang="en-CA"/>
            <a:t>Élément de perte = Max (Flux de trésorerie d'exécution</a:t>
          </a:r>
          <a:r>
            <a:rPr lang="en-CA" baseline="0"/>
            <a:t> </a:t>
          </a:r>
          <a:r>
            <a:rPr lang="en-CA"/>
            <a:t>- PCR en vertu de la MRP (à l'exception</a:t>
          </a:r>
          <a:r>
            <a:rPr lang="en-CA" baseline="0"/>
            <a:t> de l'élément de perte</a:t>
          </a:r>
          <a:r>
            <a:rPr lang="en-CA"/>
            <a:t>); 0)</a:t>
          </a:r>
        </a:p>
        <a:p>
          <a:pPr lvl="0">
            <a:buNone/>
          </a:pPr>
          <a:endParaRPr lang="en-CA"/>
        </a:p>
        <a:p>
          <a:pPr lvl="0">
            <a:buNone/>
          </a:pPr>
          <a:endParaRPr lang="en-CA"/>
        </a:p>
        <a:p>
          <a:pPr lvl="0">
            <a:buNone/>
          </a:pPr>
          <a:endParaRPr lang="en-CA"/>
        </a:p>
        <a:p>
          <a:pPr lvl="0">
            <a:buNone/>
          </a:pPr>
          <a:r>
            <a:rPr lang="en-CA"/>
            <a:t>= [VA (Sinistres + FR) + Ajustement au titre du risque non financier + VA (coûts attribuables) + VA (frais d’acquisition futurs) – VA (primes à recevoir)]   </a:t>
          </a:r>
          <a:r>
            <a:rPr lang="en-CA" b="1"/>
            <a:t>–</a:t>
          </a:r>
          <a:r>
            <a:rPr lang="en-CA"/>
            <a:t> </a:t>
          </a:r>
        </a:p>
        <a:p>
          <a:pPr lvl="0">
            <a:buNone/>
          </a:pPr>
          <a:endParaRPr lang="en-CA"/>
        </a:p>
        <a:p>
          <a:pPr lvl="0">
            <a:buNone/>
          </a:pPr>
          <a:endParaRPr lang="en-CA"/>
        </a:p>
        <a:p>
          <a:pPr lvl="0">
            <a:buNone/>
          </a:pPr>
          <a:r>
            <a:rPr lang="en-CA"/>
            <a:t>[ Primes reçues – Produit des activités</a:t>
          </a:r>
          <a:r>
            <a:rPr lang="en-CA" baseline="0"/>
            <a:t> d'assurance </a:t>
          </a:r>
          <a:r>
            <a:rPr lang="en-CA"/>
            <a:t>– frais d'acquisition reportés]</a:t>
          </a:r>
        </a:p>
        <a:p>
          <a:pPr lvl="0">
            <a:buNone/>
          </a:pPr>
          <a:endParaRPr lang="en-CA"/>
        </a:p>
        <a:p>
          <a:pPr lvl="0">
            <a:buNone/>
          </a:pPr>
          <a:r>
            <a:rPr lang="en-CA"/>
            <a:t>= VA(Sinistres + FR) + </a:t>
          </a:r>
          <a:r>
            <a:rPr lang="en-CA" baseline="0"/>
            <a:t>Ajustement au titre du risque + </a:t>
          </a:r>
          <a:r>
            <a:rPr lang="en-CA"/>
            <a:t>VA (</a:t>
          </a:r>
          <a:r>
            <a:rPr lang="en-CA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coûts attribuables</a:t>
          </a:r>
          <a:r>
            <a:rPr lang="en-CA"/>
            <a:t>) + VA (</a:t>
          </a:r>
          <a:r>
            <a:rPr lang="en-CA" sz="18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frais d’acquisition futurs</a:t>
          </a:r>
          <a:r>
            <a:rPr lang="en-CA"/>
            <a:t>) +</a:t>
          </a:r>
          <a:r>
            <a:rPr lang="en-CA" baseline="0"/>
            <a:t> Frais d'acquisition reportés</a:t>
          </a:r>
          <a:r>
            <a:rPr lang="en-CA"/>
            <a:t>  </a:t>
          </a:r>
          <a:r>
            <a:rPr lang="en-CA" b="1"/>
            <a:t>–</a:t>
          </a:r>
          <a:r>
            <a:rPr lang="en-CA"/>
            <a:t>  </a:t>
          </a:r>
        </a:p>
        <a:p>
          <a:pPr lvl="0">
            <a:buNone/>
          </a:pPr>
          <a:r>
            <a:rPr lang="en-CA"/>
            <a:t>[ VA (primes à recevoir) + Primes reçues – Produit des activités d'assurance ]</a:t>
          </a:r>
        </a:p>
        <a:p>
          <a:pPr lvl="0">
            <a:buNone/>
          </a:pPr>
          <a:endParaRPr lang="en-CA"/>
        </a:p>
        <a:p>
          <a:endParaRPr lang="en-CA"/>
        </a:p>
      </xdr:txBody>
    </xdr:sp>
    <xdr:clientData/>
  </xdr:twoCellAnchor>
  <xdr:twoCellAnchor>
    <xdr:from>
      <xdr:col>0</xdr:col>
      <xdr:colOff>238125</xdr:colOff>
      <xdr:row>1</xdr:row>
      <xdr:rowOff>47625</xdr:rowOff>
    </xdr:from>
    <xdr:to>
      <xdr:col>14</xdr:col>
      <xdr:colOff>200025</xdr:colOff>
      <xdr:row>5</xdr:row>
      <xdr:rowOff>6113</xdr:rowOff>
    </xdr:to>
    <xdr:sp macro="" textlink="">
      <xdr:nvSpPr>
        <xdr:cNvPr id="9" name="Title 2">
          <a:extLst>
            <a:ext uri="{FF2B5EF4-FFF2-40B4-BE49-F238E27FC236}">
              <a16:creationId xmlns:a16="http://schemas.microsoft.com/office/drawing/2014/main" id="{5C4FC61B-4E40-4781-9DEA-8F40CD99EC34}"/>
            </a:ext>
          </a:extLst>
        </xdr:cNvPr>
        <xdr:cNvSpPr>
          <a:spLocks noGrp="1"/>
        </xdr:cNvSpPr>
      </xdr:nvSpPr>
      <xdr:spPr>
        <a:xfrm>
          <a:off x="238125" y="238125"/>
          <a:ext cx="8496300" cy="720488"/>
        </a:xfrm>
        <a:prstGeom prst="rect">
          <a:avLst/>
        </a:prstGeom>
      </xdr:spPr>
      <xdr:txBody>
        <a:bodyPr vert="horz" wrap="square" lIns="0" tIns="0" rIns="0" bIns="0" rtlCol="0" anchor="t" anchorCtr="0">
          <a:noAutofit/>
        </a:bodyPr>
        <a:lstStyle>
          <a:lvl1pPr algn="l" defTabSz="913920" rtl="0" eaLnBrk="1" latinLnBrk="0" hangingPunct="1">
            <a:lnSpc>
              <a:spcPct val="80000"/>
            </a:lnSpc>
            <a:spcBef>
              <a:spcPct val="0"/>
            </a:spcBef>
            <a:buNone/>
            <a:defRPr lang="fr-CA" sz="2800" b="0" kern="1200" smtClean="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CA"/>
            <a:t>Approche – Élément de perte</a:t>
          </a:r>
        </a:p>
      </xdr:txBody>
    </xdr:sp>
    <xdr:clientData/>
  </xdr:twoCellAnchor>
  <xdr:twoCellAnchor>
    <xdr:from>
      <xdr:col>0</xdr:col>
      <xdr:colOff>439566</xdr:colOff>
      <xdr:row>9</xdr:row>
      <xdr:rowOff>129091</xdr:rowOff>
    </xdr:from>
    <xdr:to>
      <xdr:col>23</xdr:col>
      <xdr:colOff>425822</xdr:colOff>
      <xdr:row>11</xdr:row>
      <xdr:rowOff>137436</xdr:rowOff>
    </xdr:to>
    <xdr:sp macro="" textlink="">
      <xdr:nvSpPr>
        <xdr:cNvPr id="11" name="Left Brace 10">
          <a:extLst>
            <a:ext uri="{FF2B5EF4-FFF2-40B4-BE49-F238E27FC236}">
              <a16:creationId xmlns:a16="http://schemas.microsoft.com/office/drawing/2014/main" id="{E38E53CF-5ABE-49C8-A2CF-C7A576B32FA1}"/>
            </a:ext>
          </a:extLst>
        </xdr:cNvPr>
        <xdr:cNvSpPr/>
      </xdr:nvSpPr>
      <xdr:spPr>
        <a:xfrm rot="5400000">
          <a:off x="7196874" y="-4913717"/>
          <a:ext cx="389345" cy="13903962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CA"/>
        </a:p>
      </xdr:txBody>
    </xdr:sp>
    <xdr:clientData/>
  </xdr:twoCellAnchor>
  <xdr:twoCellAnchor>
    <xdr:from>
      <xdr:col>9</xdr:col>
      <xdr:colOff>40177</xdr:colOff>
      <xdr:row>8</xdr:row>
      <xdr:rowOff>2569</xdr:rowOff>
    </xdr:from>
    <xdr:to>
      <xdr:col>15</xdr:col>
      <xdr:colOff>257735</xdr:colOff>
      <xdr:row>9</xdr:row>
      <xdr:rowOff>98612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DBCD78DA-8844-4F78-90FC-DA8709F06B62}"/>
            </a:ext>
          </a:extLst>
        </xdr:cNvPr>
        <xdr:cNvSpPr/>
      </xdr:nvSpPr>
      <xdr:spPr>
        <a:xfrm>
          <a:off x="5486236" y="1526569"/>
          <a:ext cx="3848264" cy="28654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>
              <a:solidFill>
                <a:schemeClr val="tx1"/>
              </a:solidFill>
            </a:rPr>
            <a:t>Flux de trésorerie d'exécution</a:t>
          </a:r>
          <a:endParaRPr lang="en-CA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290415</xdr:colOff>
      <xdr:row>14</xdr:row>
      <xdr:rowOff>165570</xdr:rowOff>
    </xdr:from>
    <xdr:to>
      <xdr:col>12</xdr:col>
      <xdr:colOff>425822</xdr:colOff>
      <xdr:row>16</xdr:row>
      <xdr:rowOff>173915</xdr:rowOff>
    </xdr:to>
    <xdr:sp macro="" textlink="">
      <xdr:nvSpPr>
        <xdr:cNvPr id="13" name="Left Brace 12">
          <a:extLst>
            <a:ext uri="{FF2B5EF4-FFF2-40B4-BE49-F238E27FC236}">
              <a16:creationId xmlns:a16="http://schemas.microsoft.com/office/drawing/2014/main" id="{C1723CB1-A264-4B54-BB5A-B1AD2B1864B9}"/>
            </a:ext>
          </a:extLst>
        </xdr:cNvPr>
        <xdr:cNvSpPr/>
      </xdr:nvSpPr>
      <xdr:spPr>
        <a:xfrm rot="5400000">
          <a:off x="3794152" y="-671167"/>
          <a:ext cx="389345" cy="739681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CA"/>
        </a:p>
      </xdr:txBody>
    </xdr:sp>
    <xdr:clientData/>
  </xdr:twoCellAnchor>
  <xdr:twoCellAnchor>
    <xdr:from>
      <xdr:col>1</xdr:col>
      <xdr:colOff>416752</xdr:colOff>
      <xdr:row>13</xdr:row>
      <xdr:rowOff>112830</xdr:rowOff>
    </xdr:from>
    <xdr:to>
      <xdr:col>11</xdr:col>
      <xdr:colOff>159124</xdr:colOff>
      <xdr:row>15</xdr:row>
      <xdr:rowOff>47064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478473E-2CC6-47BA-B212-DF4023C271BD}"/>
            </a:ext>
          </a:extLst>
        </xdr:cNvPr>
        <xdr:cNvSpPr/>
      </xdr:nvSpPr>
      <xdr:spPr>
        <a:xfrm>
          <a:off x="1021870" y="2589330"/>
          <a:ext cx="5793548" cy="315234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>
              <a:solidFill>
                <a:schemeClr val="tx1"/>
              </a:solidFill>
            </a:rPr>
            <a:t>PCR</a:t>
          </a:r>
          <a:r>
            <a:rPr lang="fr-CA" baseline="0">
              <a:solidFill>
                <a:schemeClr val="tx1"/>
              </a:solidFill>
            </a:rPr>
            <a:t> en vertu de la MRP (à l'exception de l'élément de perte)</a:t>
          </a:r>
          <a:endParaRPr lang="en-CA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251505</xdr:colOff>
      <xdr:row>23</xdr:row>
      <xdr:rowOff>43161</xdr:rowOff>
    </xdr:from>
    <xdr:to>
      <xdr:col>12</xdr:col>
      <xdr:colOff>22415</xdr:colOff>
      <xdr:row>25</xdr:row>
      <xdr:rowOff>51506</xdr:rowOff>
    </xdr:to>
    <xdr:sp macro="" textlink="">
      <xdr:nvSpPr>
        <xdr:cNvPr id="15" name="Left Brace 14">
          <a:extLst>
            <a:ext uri="{FF2B5EF4-FFF2-40B4-BE49-F238E27FC236}">
              <a16:creationId xmlns:a16="http://schemas.microsoft.com/office/drawing/2014/main" id="{737972CF-69F2-401F-AD2F-35E7C548E1CB}"/>
            </a:ext>
          </a:extLst>
        </xdr:cNvPr>
        <xdr:cNvSpPr/>
      </xdr:nvSpPr>
      <xdr:spPr>
        <a:xfrm rot="16200000">
          <a:off x="3572993" y="1103173"/>
          <a:ext cx="389345" cy="7032322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CA"/>
        </a:p>
      </xdr:txBody>
    </xdr:sp>
    <xdr:clientData/>
  </xdr:twoCellAnchor>
  <xdr:twoCellAnchor>
    <xdr:from>
      <xdr:col>4</xdr:col>
      <xdr:colOff>27765</xdr:colOff>
      <xdr:row>25</xdr:row>
      <xdr:rowOff>70726</xdr:rowOff>
    </xdr:from>
    <xdr:to>
      <xdr:col>9</xdr:col>
      <xdr:colOff>74543</xdr:colOff>
      <xdr:row>26</xdr:row>
      <xdr:rowOff>152599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A12D4C7-0574-4E4B-87E4-76C5C7111D90}"/>
            </a:ext>
          </a:extLst>
        </xdr:cNvPr>
        <xdr:cNvSpPr/>
      </xdr:nvSpPr>
      <xdr:spPr>
        <a:xfrm>
          <a:off x="2479417" y="4833226"/>
          <a:ext cx="3111343" cy="27237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 i="0">
              <a:solidFill>
                <a:schemeClr val="tx1"/>
              </a:solidFill>
            </a:rPr>
            <a:t>≈ Primes non acquises</a:t>
          </a:r>
          <a:r>
            <a:rPr lang="fr-CA">
              <a:solidFill>
                <a:schemeClr val="tx1"/>
              </a:solidFill>
            </a:rPr>
            <a:t>*</a:t>
          </a:r>
          <a:endParaRPr lang="en-CA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25349</xdr:colOff>
      <xdr:row>27</xdr:row>
      <xdr:rowOff>103905</xdr:rowOff>
    </xdr:from>
    <xdr:to>
      <xdr:col>13</xdr:col>
      <xdr:colOff>289883</xdr:colOff>
      <xdr:row>28</xdr:row>
      <xdr:rowOff>185778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964A32C-F3D0-4465-9C6A-8C957EAE2E42}"/>
            </a:ext>
          </a:extLst>
        </xdr:cNvPr>
        <xdr:cNvSpPr/>
      </xdr:nvSpPr>
      <xdr:spPr>
        <a:xfrm>
          <a:off x="2477001" y="5247405"/>
          <a:ext cx="5780752" cy="27237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 i="1">
              <a:solidFill>
                <a:schemeClr val="tx1"/>
              </a:solidFill>
            </a:rPr>
            <a:t>= </a:t>
          </a:r>
          <a:r>
            <a:rPr lang="fr-CA">
              <a:solidFill>
                <a:schemeClr val="tx1"/>
              </a:solidFill>
            </a:rPr>
            <a:t>Primes non acquises – Actualisation des primes à recevoir</a:t>
          </a:r>
          <a:endParaRPr lang="en-CA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4</xdr:row>
      <xdr:rowOff>123825</xdr:rowOff>
    </xdr:from>
    <xdr:to>
      <xdr:col>7</xdr:col>
      <xdr:colOff>428175</xdr:colOff>
      <xdr:row>23</xdr:row>
      <xdr:rowOff>104325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DA9A444-1E78-415E-9A85-AB57E22A04A7}"/>
            </a:ext>
          </a:extLst>
        </xdr:cNvPr>
        <xdr:cNvSpPr/>
      </xdr:nvSpPr>
      <xdr:spPr>
        <a:xfrm>
          <a:off x="1704975" y="914400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</xdr:col>
      <xdr:colOff>471938</xdr:colOff>
      <xdr:row>4</xdr:row>
      <xdr:rowOff>128588</xdr:rowOff>
    </xdr:from>
    <xdr:to>
      <xdr:col>7</xdr:col>
      <xdr:colOff>414338</xdr:colOff>
      <xdr:row>23</xdr:row>
      <xdr:rowOff>109088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55C57834-FAEA-4F73-8D30-3B4EF87FC815}"/>
            </a:ext>
          </a:extLst>
        </xdr:cNvPr>
        <xdr:cNvSpPr/>
      </xdr:nvSpPr>
      <xdr:spPr>
        <a:xfrm rot="5400000">
          <a:off x="684801" y="1000747"/>
          <a:ext cx="3790500" cy="3619878"/>
        </a:xfrm>
        <a:prstGeom prst="triangle">
          <a:avLst>
            <a:gd name="adj" fmla="val 0"/>
          </a:avLst>
        </a:prstGeom>
        <a:solidFill>
          <a:schemeClr val="accent2">
            <a:alpha val="8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</xdr:col>
      <xdr:colOff>493130</xdr:colOff>
      <xdr:row>4</xdr:row>
      <xdr:rowOff>133350</xdr:rowOff>
    </xdr:from>
    <xdr:to>
      <xdr:col>8</xdr:col>
      <xdr:colOff>409576</xdr:colOff>
      <xdr:row>23</xdr:row>
      <xdr:rowOff>101211</xdr:rowOff>
    </xdr:to>
    <xdr:sp macro="" textlink="">
      <xdr:nvSpPr>
        <xdr:cNvPr id="4" name="Parallelogram 3">
          <a:extLst>
            <a:ext uri="{FF2B5EF4-FFF2-40B4-BE49-F238E27FC236}">
              <a16:creationId xmlns:a16="http://schemas.microsoft.com/office/drawing/2014/main" id="{71D6821A-D161-4E23-BE5B-B9876211D472}"/>
            </a:ext>
          </a:extLst>
        </xdr:cNvPr>
        <xdr:cNvSpPr/>
      </xdr:nvSpPr>
      <xdr:spPr>
        <a:xfrm>
          <a:off x="791304" y="920198"/>
          <a:ext cx="4206837" cy="3777861"/>
        </a:xfrm>
        <a:prstGeom prst="parallelogram">
          <a:avLst>
            <a:gd name="adj" fmla="val 100237"/>
          </a:avLst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7</xdr:col>
      <xdr:colOff>428625</xdr:colOff>
      <xdr:row>4</xdr:row>
      <xdr:rowOff>123825</xdr:rowOff>
    </xdr:from>
    <xdr:to>
      <xdr:col>13</xdr:col>
      <xdr:colOff>371025</xdr:colOff>
      <xdr:row>23</xdr:row>
      <xdr:rowOff>104325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AABCF47-5FB4-416D-80A8-13B8D0F8BE31}"/>
            </a:ext>
          </a:extLst>
        </xdr:cNvPr>
        <xdr:cNvSpPr/>
      </xdr:nvSpPr>
      <xdr:spPr>
        <a:xfrm>
          <a:off x="5305425" y="914400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9525</xdr:colOff>
      <xdr:row>30</xdr:row>
      <xdr:rowOff>0</xdr:rowOff>
    </xdr:from>
    <xdr:to>
      <xdr:col>7</xdr:col>
      <xdr:colOff>561525</xdr:colOff>
      <xdr:row>48</xdr:row>
      <xdr:rowOff>171000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B6D470BE-FAAB-4ADE-8AF3-B6C9D2020B23}"/>
            </a:ext>
          </a:extLst>
        </xdr:cNvPr>
        <xdr:cNvSpPr/>
      </xdr:nvSpPr>
      <xdr:spPr>
        <a:xfrm rot="5400000">
          <a:off x="928895" y="5731565"/>
          <a:ext cx="3600000" cy="3616565"/>
        </a:xfrm>
        <a:prstGeom prst="triangle">
          <a:avLst>
            <a:gd name="adj" fmla="val 690"/>
          </a:avLst>
        </a:prstGeom>
        <a:solidFill>
          <a:schemeClr val="accent2">
            <a:alpha val="8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8283</xdr:colOff>
      <xdr:row>30</xdr:row>
      <xdr:rowOff>2</xdr:rowOff>
    </xdr:from>
    <xdr:to>
      <xdr:col>10</xdr:col>
      <xdr:colOff>563217</xdr:colOff>
      <xdr:row>48</xdr:row>
      <xdr:rowOff>157370</xdr:rowOff>
    </xdr:to>
    <xdr:sp macro="" textlink="">
      <xdr:nvSpPr>
        <xdr:cNvPr id="7" name="Parallelogram 6">
          <a:extLst>
            <a:ext uri="{FF2B5EF4-FFF2-40B4-BE49-F238E27FC236}">
              <a16:creationId xmlns:a16="http://schemas.microsoft.com/office/drawing/2014/main" id="{A5EB8071-63BD-4E64-9236-3D5F5C3A5C54}"/>
            </a:ext>
          </a:extLst>
        </xdr:cNvPr>
        <xdr:cNvSpPr/>
      </xdr:nvSpPr>
      <xdr:spPr>
        <a:xfrm>
          <a:off x="919370" y="5739850"/>
          <a:ext cx="5458238" cy="3586368"/>
        </a:xfrm>
        <a:prstGeom prst="parallelogram">
          <a:avLst>
            <a:gd name="adj" fmla="val 102084"/>
          </a:avLst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4</xdr:col>
      <xdr:colOff>580800</xdr:colOff>
      <xdr:row>30</xdr:row>
      <xdr:rowOff>0</xdr:rowOff>
    </xdr:from>
    <xdr:to>
      <xdr:col>4</xdr:col>
      <xdr:colOff>580800</xdr:colOff>
      <xdr:row>48</xdr:row>
      <xdr:rowOff>171000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B20059D-3D7A-4B7B-B3F4-5F94AC3C76B3}"/>
            </a:ext>
          </a:extLst>
        </xdr:cNvPr>
        <xdr:cNvCxnSpPr>
          <a:stCxn id="12" idx="0"/>
          <a:endCxn id="12" idx="2"/>
        </xdr:cNvCxnSpPr>
      </xdr:nvCxnSpPr>
      <xdr:spPr>
        <a:xfrm>
          <a:off x="3628800" y="5743575"/>
          <a:ext cx="0" cy="3600000"/>
        </a:xfrm>
        <a:prstGeom prst="line">
          <a:avLst/>
        </a:prstGeom>
        <a:ln w="254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607430</xdr:colOff>
      <xdr:row>30</xdr:row>
      <xdr:rowOff>0</xdr:rowOff>
    </xdr:from>
    <xdr:to>
      <xdr:col>11</xdr:col>
      <xdr:colOff>523876</xdr:colOff>
      <xdr:row>48</xdr:row>
      <xdr:rowOff>158361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3B4EA52A-FF97-4349-9834-7E0EEC15605E}"/>
            </a:ext>
          </a:extLst>
        </xdr:cNvPr>
        <xdr:cNvSpPr/>
      </xdr:nvSpPr>
      <xdr:spPr>
        <a:xfrm>
          <a:off x="3655430" y="5743575"/>
          <a:ext cx="4183646" cy="3587361"/>
        </a:xfrm>
        <a:prstGeom prst="parallelogram">
          <a:avLst>
            <a:gd name="adj" fmla="val 10023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7</xdr:col>
      <xdr:colOff>552450</xdr:colOff>
      <xdr:row>30</xdr:row>
      <xdr:rowOff>0</xdr:rowOff>
    </xdr:from>
    <xdr:to>
      <xdr:col>13</xdr:col>
      <xdr:colOff>494850</xdr:colOff>
      <xdr:row>48</xdr:row>
      <xdr:rowOff>171000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204AAE3-C0A1-4AE0-B682-296E497F4891}"/>
            </a:ext>
          </a:extLst>
        </xdr:cNvPr>
        <xdr:cNvSpPr/>
      </xdr:nvSpPr>
      <xdr:spPr>
        <a:xfrm>
          <a:off x="5429250" y="5743575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0</xdr:colOff>
      <xdr:row>29</xdr:row>
      <xdr:rowOff>114300</xdr:rowOff>
    </xdr:from>
    <xdr:to>
      <xdr:col>4</xdr:col>
      <xdr:colOff>571500</xdr:colOff>
      <xdr:row>48</xdr:row>
      <xdr:rowOff>171450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9AD0DD90-FBA0-433B-BBDE-7ACED1E4917B}"/>
            </a:ext>
          </a:extLst>
        </xdr:cNvPr>
        <xdr:cNvSpPr/>
      </xdr:nvSpPr>
      <xdr:spPr>
        <a:xfrm>
          <a:off x="1828800" y="5667375"/>
          <a:ext cx="1790700" cy="36766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0</xdr:colOff>
      <xdr:row>30</xdr:row>
      <xdr:rowOff>0</xdr:rowOff>
    </xdr:from>
    <xdr:to>
      <xdr:col>7</xdr:col>
      <xdr:colOff>552000</xdr:colOff>
      <xdr:row>48</xdr:row>
      <xdr:rowOff>171000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E2481334-9344-4618-90D8-D441BF27B2CD}"/>
            </a:ext>
          </a:extLst>
        </xdr:cNvPr>
        <xdr:cNvSpPr/>
      </xdr:nvSpPr>
      <xdr:spPr>
        <a:xfrm>
          <a:off x="1828800" y="5743575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D51D3-96AE-4C8C-919B-EC0B2B4729C1}">
  <dimension ref="A1:O36"/>
  <sheetViews>
    <sheetView showGridLines="0" zoomScale="85" zoomScaleNormal="85" workbookViewId="0"/>
  </sheetViews>
  <sheetFormatPr defaultColWidth="9.1796875" defaultRowHeight="14.5" x14ac:dyDescent="0.35"/>
  <sheetData>
    <row r="1" spans="1:15" x14ac:dyDescent="0.3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x14ac:dyDescent="0.3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x14ac:dyDescent="0.3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x14ac:dyDescent="0.3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x14ac:dyDescent="0.3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x14ac:dyDescent="0.35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15" x14ac:dyDescent="0.3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x14ac:dyDescent="0.35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1:15" x14ac:dyDescent="0.3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spans="1:15" x14ac:dyDescent="0.3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</row>
    <row r="12" spans="1:15" x14ac:dyDescent="0.3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3" spans="1:15" x14ac:dyDescent="0.3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</row>
    <row r="14" spans="1:15" x14ac:dyDescent="0.3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spans="1:15" x14ac:dyDescent="0.3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pans="1:15" x14ac:dyDescent="0.3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pans="1:15" x14ac:dyDescent="0.3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1:15" x14ac:dyDescent="0.3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spans="1:15" x14ac:dyDescent="0.3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  <row r="20" spans="1:15" x14ac:dyDescent="0.3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</row>
    <row r="21" spans="1:15" x14ac:dyDescent="0.3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</row>
    <row r="22" spans="1:15" x14ac:dyDescent="0.3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1:15" x14ac:dyDescent="0.3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</row>
    <row r="24" spans="1:15" x14ac:dyDescent="0.3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</row>
    <row r="25" spans="1:15" x14ac:dyDescent="0.3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</row>
    <row r="26" spans="1:15" x14ac:dyDescent="0.3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</row>
    <row r="27" spans="1:15" x14ac:dyDescent="0.35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x14ac:dyDescent="0.35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</row>
    <row r="29" spans="1:15" x14ac:dyDescent="0.35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spans="1:15" x14ac:dyDescent="0.3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1:15" x14ac:dyDescent="0.35">
      <c r="A31" s="103"/>
      <c r="B31" s="103" t="s">
        <v>140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</row>
    <row r="32" spans="1:15" x14ac:dyDescent="0.35">
      <c r="A32" s="103"/>
      <c r="B32" s="103" t="s">
        <v>106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spans="1:15" x14ac:dyDescent="0.3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1:15" x14ac:dyDescent="0.35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spans="1:15" x14ac:dyDescent="0.35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1:15" x14ac:dyDescent="0.35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B0457-3BE3-49A0-BFC0-E740075C36AD}">
  <dimension ref="A1:AR43"/>
  <sheetViews>
    <sheetView showGridLines="0" zoomScaleNormal="100" workbookViewId="0"/>
  </sheetViews>
  <sheetFormatPr defaultColWidth="9.1796875" defaultRowHeight="14.5" x14ac:dyDescent="0.35"/>
  <cols>
    <col min="1" max="1" width="5.453125" customWidth="1"/>
    <col min="2" max="2" width="13.453125" customWidth="1"/>
    <col min="3" max="3" width="13.453125" bestFit="1" customWidth="1"/>
    <col min="4" max="6" width="13.453125" customWidth="1"/>
    <col min="7" max="7" width="9.54296875" customWidth="1"/>
    <col min="8" max="8" width="12.54296875" customWidth="1"/>
    <col min="9" max="9" width="12.453125" customWidth="1"/>
    <col min="10" max="10" width="9.54296875" customWidth="1"/>
    <col min="11" max="11" width="11" customWidth="1"/>
    <col min="12" max="12" width="14.81640625" customWidth="1"/>
    <col min="13" max="13" width="13.81640625" customWidth="1"/>
    <col min="14" max="14" width="10.54296875" customWidth="1"/>
    <col min="15" max="16" width="5.453125" customWidth="1"/>
    <col min="17" max="17" width="21" customWidth="1"/>
    <col min="18" max="18" width="13.453125" bestFit="1" customWidth="1"/>
    <col min="19" max="20" width="11.54296875" style="4" customWidth="1"/>
    <col min="21" max="21" width="11.26953125" customWidth="1"/>
    <col min="22" max="22" width="11.453125" bestFit="1" customWidth="1"/>
    <col min="23" max="23" width="12.54296875" bestFit="1" customWidth="1"/>
    <col min="24" max="24" width="11.54296875" customWidth="1"/>
    <col min="25" max="25" width="13.453125" customWidth="1"/>
    <col min="26" max="26" width="11.81640625" bestFit="1" customWidth="1"/>
    <col min="27" max="27" width="12.81640625" bestFit="1" customWidth="1"/>
    <col min="28" max="28" width="12" customWidth="1"/>
    <col min="29" max="29" width="12.1796875" customWidth="1"/>
    <col min="30" max="31" width="5.453125" customWidth="1"/>
    <col min="32" max="32" width="21" customWidth="1"/>
    <col min="33" max="33" width="13.453125" bestFit="1" customWidth="1"/>
    <col min="34" max="36" width="11.54296875" customWidth="1"/>
    <col min="37" max="37" width="9.54296875" customWidth="1"/>
    <col min="38" max="39" width="11.54296875" customWidth="1"/>
    <col min="40" max="40" width="13.453125" customWidth="1"/>
    <col min="41" max="41" width="11.81640625" bestFit="1" customWidth="1"/>
    <col min="42" max="42" width="9.54296875" customWidth="1"/>
    <col min="43" max="43" width="11.54296875" customWidth="1"/>
    <col min="44" max="44" width="5.453125" customWidth="1"/>
  </cols>
  <sheetData>
    <row r="1" spans="1:44" ht="18.5" x14ac:dyDescent="0.45">
      <c r="O1" s="5" t="s">
        <v>21</v>
      </c>
      <c r="AD1" s="5" t="s">
        <v>21</v>
      </c>
      <c r="AL1" s="5"/>
      <c r="AQ1" s="5"/>
      <c r="AR1" s="5" t="s">
        <v>21</v>
      </c>
    </row>
    <row r="2" spans="1:44" ht="18.5" x14ac:dyDescent="0.45">
      <c r="A2" s="7"/>
      <c r="B2" s="8" t="s">
        <v>20</v>
      </c>
      <c r="C2" s="8"/>
      <c r="D2" s="8"/>
      <c r="E2" s="8"/>
      <c r="F2" s="8"/>
      <c r="G2" s="9"/>
      <c r="H2" s="7"/>
      <c r="I2" s="7"/>
      <c r="J2" s="7"/>
      <c r="K2" s="7"/>
      <c r="L2" s="7"/>
      <c r="M2" s="7"/>
      <c r="N2" s="7"/>
      <c r="O2" s="5" t="s">
        <v>22</v>
      </c>
      <c r="P2" s="7"/>
      <c r="Q2" s="8" t="s">
        <v>20</v>
      </c>
      <c r="R2" s="8"/>
      <c r="V2" s="9"/>
      <c r="W2" s="9"/>
      <c r="X2" s="7"/>
      <c r="Y2" s="7"/>
      <c r="Z2" s="7"/>
      <c r="AA2" s="7"/>
      <c r="AB2" s="7"/>
      <c r="AC2" s="7"/>
      <c r="AD2" s="5" t="s">
        <v>23</v>
      </c>
      <c r="AE2" s="7"/>
      <c r="AF2" s="8" t="s">
        <v>20</v>
      </c>
      <c r="AG2" s="8"/>
      <c r="AH2" s="7"/>
      <c r="AI2" s="7"/>
      <c r="AJ2" s="7"/>
      <c r="AK2" s="7"/>
      <c r="AL2" s="5"/>
      <c r="AM2" s="7"/>
      <c r="AN2" s="7"/>
      <c r="AO2" s="7"/>
      <c r="AP2" s="7"/>
      <c r="AQ2" s="5"/>
      <c r="AR2" s="5" t="s">
        <v>24</v>
      </c>
    </row>
    <row r="3" spans="1:44" ht="18" x14ac:dyDescent="0.4">
      <c r="A3" s="7"/>
      <c r="B3" s="8" t="s">
        <v>25</v>
      </c>
      <c r="C3" s="8"/>
      <c r="D3" s="8"/>
      <c r="E3" s="8"/>
      <c r="F3" s="8"/>
      <c r="G3" s="8"/>
      <c r="H3" s="7"/>
      <c r="I3" s="7"/>
      <c r="J3" s="7"/>
      <c r="K3" s="7"/>
      <c r="L3" s="7"/>
      <c r="M3" s="6"/>
      <c r="N3" s="6"/>
      <c r="O3" s="7"/>
      <c r="P3" s="7"/>
      <c r="Q3" s="8" t="s">
        <v>25</v>
      </c>
      <c r="R3" s="8"/>
      <c r="S3" s="10"/>
      <c r="T3" s="10"/>
      <c r="V3" s="8"/>
      <c r="W3" s="8"/>
      <c r="X3" s="7"/>
      <c r="Y3" s="7"/>
      <c r="Z3" s="7"/>
      <c r="AA3" s="7"/>
      <c r="AB3" s="7"/>
      <c r="AC3" s="7"/>
      <c r="AD3" s="7"/>
      <c r="AE3" s="7"/>
      <c r="AF3" s="8" t="s">
        <v>25</v>
      </c>
      <c r="AG3" s="8"/>
      <c r="AH3" s="6"/>
      <c r="AI3" s="6"/>
      <c r="AJ3" s="6"/>
      <c r="AK3" s="6"/>
      <c r="AL3" s="6"/>
      <c r="AM3" s="7"/>
      <c r="AN3" s="7"/>
      <c r="AO3" s="7"/>
      <c r="AP3" s="6"/>
      <c r="AQ3" s="6"/>
      <c r="AR3" s="7"/>
    </row>
    <row r="4" spans="1:44" ht="18" x14ac:dyDescent="0.4">
      <c r="A4" s="7"/>
      <c r="B4" s="95" t="s">
        <v>107</v>
      </c>
      <c r="C4" s="95"/>
      <c r="D4" s="8"/>
      <c r="E4" s="8"/>
      <c r="F4" s="8"/>
      <c r="G4" s="8"/>
      <c r="H4" s="7"/>
      <c r="I4" s="7"/>
      <c r="J4" s="7"/>
      <c r="K4" s="7"/>
      <c r="L4" s="7"/>
      <c r="M4" s="6"/>
      <c r="N4" s="6"/>
      <c r="O4" s="7"/>
      <c r="P4" s="7"/>
      <c r="Q4" s="95" t="s">
        <v>107</v>
      </c>
      <c r="R4" s="8"/>
      <c r="S4" s="10"/>
      <c r="T4" s="10"/>
      <c r="V4" s="8"/>
      <c r="W4" s="8"/>
      <c r="X4" s="7"/>
      <c r="Y4" s="7"/>
      <c r="Z4" s="7"/>
      <c r="AA4" s="7"/>
      <c r="AB4" s="7"/>
      <c r="AC4" s="7"/>
      <c r="AD4" s="7"/>
      <c r="AE4" s="7"/>
      <c r="AF4" s="95" t="s">
        <v>107</v>
      </c>
      <c r="AG4" s="8"/>
      <c r="AH4" s="6"/>
      <c r="AI4" s="6"/>
      <c r="AJ4" s="6"/>
      <c r="AK4" s="6"/>
      <c r="AL4" s="6"/>
      <c r="AM4" s="7"/>
      <c r="AN4" s="7"/>
      <c r="AO4" s="7"/>
      <c r="AP4" s="6"/>
      <c r="AQ4" s="6"/>
      <c r="AR4" s="7"/>
    </row>
    <row r="5" spans="1:44" ht="18" x14ac:dyDescent="0.4">
      <c r="A5" s="7"/>
      <c r="B5" s="8" t="s">
        <v>26</v>
      </c>
      <c r="C5" s="8"/>
      <c r="D5" s="8"/>
      <c r="E5" s="8"/>
      <c r="F5" s="8"/>
      <c r="G5" s="11"/>
      <c r="H5" s="7"/>
      <c r="I5" s="7"/>
      <c r="J5" s="7"/>
      <c r="K5" s="7"/>
      <c r="L5" s="7"/>
      <c r="M5" s="12"/>
      <c r="N5" s="12"/>
      <c r="O5" s="7"/>
      <c r="P5" s="7"/>
      <c r="Q5" s="8" t="s">
        <v>26</v>
      </c>
      <c r="R5" s="8"/>
      <c r="S5" s="13"/>
      <c r="T5" s="13"/>
      <c r="V5" s="11"/>
      <c r="W5" s="11"/>
      <c r="X5" s="7"/>
      <c r="Y5" s="7"/>
      <c r="Z5" s="7"/>
      <c r="AA5" s="7"/>
      <c r="AB5" s="7"/>
      <c r="AC5" s="7"/>
      <c r="AD5" s="7"/>
      <c r="AE5" s="7"/>
      <c r="AF5" s="8" t="s">
        <v>26</v>
      </c>
      <c r="AG5" s="8"/>
      <c r="AH5" s="12"/>
      <c r="AI5" s="12"/>
      <c r="AJ5" s="12"/>
      <c r="AK5" s="12"/>
      <c r="AL5" s="12"/>
      <c r="AM5" s="7"/>
      <c r="AN5" s="7"/>
      <c r="AO5" s="7"/>
      <c r="AP5" s="12"/>
      <c r="AQ5" s="12"/>
      <c r="AR5" s="7"/>
    </row>
    <row r="6" spans="1:44" ht="18" x14ac:dyDescent="0.4">
      <c r="A6" s="7"/>
      <c r="B6" s="8" t="s">
        <v>27</v>
      </c>
      <c r="C6" s="8"/>
      <c r="D6" s="8"/>
      <c r="E6" s="8"/>
      <c r="F6" s="8"/>
      <c r="G6" s="11"/>
      <c r="H6" s="7"/>
      <c r="I6" s="7"/>
      <c r="J6" s="7"/>
      <c r="K6" s="7"/>
      <c r="L6" s="7"/>
      <c r="M6" s="12"/>
      <c r="N6" s="12"/>
      <c r="O6" s="7"/>
      <c r="P6" s="7"/>
      <c r="Q6" s="8" t="s">
        <v>27</v>
      </c>
      <c r="R6" s="8"/>
      <c r="S6" s="13"/>
      <c r="T6" s="13"/>
      <c r="V6" s="11"/>
      <c r="W6" s="11"/>
      <c r="X6" s="7"/>
      <c r="Y6" s="7"/>
      <c r="Z6" s="7"/>
      <c r="AA6" s="7"/>
      <c r="AB6" s="7"/>
      <c r="AC6" s="7"/>
      <c r="AD6" s="7"/>
      <c r="AE6" s="7"/>
      <c r="AF6" s="8" t="s">
        <v>27</v>
      </c>
      <c r="AG6" s="8"/>
      <c r="AH6" s="12"/>
      <c r="AI6" s="12"/>
      <c r="AJ6" s="12"/>
      <c r="AK6" s="12"/>
      <c r="AL6" s="12"/>
      <c r="AM6" s="7"/>
      <c r="AN6" s="7"/>
      <c r="AO6" s="7"/>
      <c r="AP6" s="12"/>
      <c r="AQ6" s="12"/>
      <c r="AR6" s="7"/>
    </row>
    <row r="8" spans="1:44" x14ac:dyDescent="0.35">
      <c r="B8" s="14"/>
      <c r="C8" s="14"/>
      <c r="D8" s="14">
        <v>-1</v>
      </c>
      <c r="E8" s="14">
        <v>-2</v>
      </c>
      <c r="F8" s="14">
        <v>-3</v>
      </c>
      <c r="G8" s="14">
        <v>-4</v>
      </c>
      <c r="H8" s="14">
        <v>-5</v>
      </c>
      <c r="I8" s="14">
        <v>-6</v>
      </c>
      <c r="J8" s="14">
        <v>-7</v>
      </c>
      <c r="K8" s="14">
        <v>-8</v>
      </c>
      <c r="L8" s="14">
        <v>-9</v>
      </c>
      <c r="M8" s="14">
        <v>-10</v>
      </c>
      <c r="N8" s="14">
        <v>-11</v>
      </c>
      <c r="Q8" s="14"/>
      <c r="R8" s="14"/>
      <c r="S8" s="14">
        <v>-12</v>
      </c>
      <c r="T8" s="14">
        <v>-13</v>
      </c>
      <c r="U8" s="14">
        <v>-14</v>
      </c>
      <c r="V8" s="14">
        <v>-15</v>
      </c>
      <c r="W8" s="14">
        <v>-16</v>
      </c>
      <c r="X8" s="14">
        <v>-17</v>
      </c>
      <c r="Y8" s="14">
        <v>-18</v>
      </c>
      <c r="Z8" s="14">
        <v>-19</v>
      </c>
      <c r="AA8" s="14">
        <v>-20</v>
      </c>
      <c r="AB8" s="14">
        <v>-21</v>
      </c>
      <c r="AC8" s="14">
        <v>-22</v>
      </c>
      <c r="AF8" s="14"/>
      <c r="AG8" s="14"/>
      <c r="AH8" s="14">
        <v>-23</v>
      </c>
      <c r="AI8" s="14">
        <v>-24</v>
      </c>
      <c r="AJ8" s="14">
        <v>-25</v>
      </c>
      <c r="AK8" s="14">
        <v>-26</v>
      </c>
      <c r="AL8" s="14">
        <v>-27</v>
      </c>
      <c r="AM8" s="14">
        <v>-28</v>
      </c>
      <c r="AN8" s="14"/>
      <c r="AO8" s="14"/>
      <c r="AP8" s="14"/>
      <c r="AQ8" s="14"/>
    </row>
    <row r="9" spans="1:44" ht="72.5" x14ac:dyDescent="0.35">
      <c r="B9" s="16" t="s">
        <v>29</v>
      </c>
      <c r="C9" s="15" t="s">
        <v>30</v>
      </c>
      <c r="D9" s="16" t="s">
        <v>70</v>
      </c>
      <c r="E9" s="107" t="s">
        <v>108</v>
      </c>
      <c r="F9" s="16" t="s">
        <v>71</v>
      </c>
      <c r="G9" s="107" t="s">
        <v>72</v>
      </c>
      <c r="H9" s="16" t="s">
        <v>31</v>
      </c>
      <c r="I9" s="107" t="s">
        <v>109</v>
      </c>
      <c r="J9" s="16" t="s">
        <v>32</v>
      </c>
      <c r="K9" s="107" t="s">
        <v>110</v>
      </c>
      <c r="L9" s="107" t="s">
        <v>111</v>
      </c>
      <c r="M9" s="16" t="s">
        <v>33</v>
      </c>
      <c r="N9" s="107" t="s">
        <v>112</v>
      </c>
      <c r="Q9" s="16" t="s">
        <v>29</v>
      </c>
      <c r="R9" s="16" t="s">
        <v>30</v>
      </c>
      <c r="S9" s="107" t="s">
        <v>113</v>
      </c>
      <c r="T9" s="17" t="s">
        <v>114</v>
      </c>
      <c r="U9" s="17" t="s">
        <v>115</v>
      </c>
      <c r="V9" s="17" t="s">
        <v>116</v>
      </c>
      <c r="W9" s="107" t="s">
        <v>117</v>
      </c>
      <c r="X9" s="108" t="s">
        <v>118</v>
      </c>
      <c r="Y9" s="108" t="s">
        <v>34</v>
      </c>
      <c r="Z9" s="108" t="s">
        <v>119</v>
      </c>
      <c r="AA9" s="108" t="s">
        <v>120</v>
      </c>
      <c r="AB9" s="18" t="s">
        <v>69</v>
      </c>
      <c r="AC9" s="18" t="s">
        <v>103</v>
      </c>
      <c r="AF9" s="16" t="s">
        <v>29</v>
      </c>
      <c r="AG9" s="16" t="s">
        <v>30</v>
      </c>
      <c r="AH9" s="18" t="s">
        <v>35</v>
      </c>
      <c r="AI9" s="18" t="s">
        <v>36</v>
      </c>
      <c r="AJ9" s="108" t="s">
        <v>100</v>
      </c>
      <c r="AK9" s="18" t="s">
        <v>37</v>
      </c>
      <c r="AL9" s="18" t="s">
        <v>38</v>
      </c>
      <c r="AM9" s="18" t="s">
        <v>39</v>
      </c>
      <c r="AN9" s="18"/>
      <c r="AO9" s="18"/>
      <c r="AP9" s="18"/>
      <c r="AQ9" s="18"/>
    </row>
    <row r="10" spans="1:44" x14ac:dyDescent="0.35">
      <c r="B10" s="36" t="s">
        <v>42</v>
      </c>
      <c r="C10" s="37">
        <v>2023</v>
      </c>
      <c r="D10" s="97">
        <f>50000+50000*(1-90%)</f>
        <v>55000</v>
      </c>
      <c r="E10" s="97">
        <v>50000</v>
      </c>
      <c r="F10" s="97">
        <f>50000*90%</f>
        <v>45000</v>
      </c>
      <c r="G10" s="41">
        <f>D10+F10-E10</f>
        <v>50000</v>
      </c>
      <c r="H10" s="35">
        <v>0.96</v>
      </c>
      <c r="I10" s="41">
        <f>G10*H10</f>
        <v>48000</v>
      </c>
      <c r="J10" s="32">
        <v>0.8</v>
      </c>
      <c r="K10" s="33">
        <v>0.14000000000000001</v>
      </c>
      <c r="L10" s="38">
        <f>'Exemple2-FinAnnée'!$H$23</f>
        <v>0.95940241190546682</v>
      </c>
      <c r="M10" s="38">
        <f>'Exemple2-FinAnnée'!$S$29</f>
        <v>0.99355975550410913</v>
      </c>
      <c r="N10" s="41">
        <f>I10*J10*L10</f>
        <v>36841.052617169924</v>
      </c>
      <c r="Q10" s="105" t="str">
        <f t="shared" ref="Q10:Q15" si="0">B10</f>
        <v>Groupe A23</v>
      </c>
      <c r="R10" s="106">
        <f t="shared" ref="R10:R15" si="1">C10</f>
        <v>2023</v>
      </c>
      <c r="S10" s="171">
        <f>I10*J10*K10*L10</f>
        <v>5157.7473664037907</v>
      </c>
      <c r="T10" s="23">
        <f t="shared" ref="T10:T15" si="2">N10+S10</f>
        <v>41998.799983573714</v>
      </c>
      <c r="U10" s="43">
        <v>0.1</v>
      </c>
      <c r="V10" s="25">
        <f t="shared" ref="V10:V15" si="3">T10*U10</f>
        <v>4199.8799983573717</v>
      </c>
      <c r="W10" s="44">
        <v>0</v>
      </c>
      <c r="X10" s="34">
        <v>7500</v>
      </c>
      <c r="Y10" s="33">
        <v>0.75</v>
      </c>
      <c r="Z10" s="39">
        <f t="shared" ref="Z10:Z15" si="4">G10*W10*Y10*H10+G10*W10*(1-Y10)</f>
        <v>0</v>
      </c>
      <c r="AA10" s="96">
        <f t="shared" ref="AA10:AA15" si="5">X10*Y10*H10+X10*(1-Y10)</f>
        <v>7275</v>
      </c>
      <c r="AB10" s="40">
        <v>7.0000000000000007E-2</v>
      </c>
      <c r="AC10" s="21">
        <f t="shared" ref="AC10:AC15" si="6">I10*AB10*M10</f>
        <v>3338.3607784938072</v>
      </c>
      <c r="AE10" s="21"/>
      <c r="AF10" s="105" t="str">
        <f t="shared" ref="AF10:AG15" si="7">B10</f>
        <v>Groupe A23</v>
      </c>
      <c r="AG10" s="106">
        <f t="shared" si="7"/>
        <v>2023</v>
      </c>
      <c r="AH10" s="98">
        <f>(F10-(G10*(1-H10)))*M10</f>
        <v>42723.069486676693</v>
      </c>
      <c r="AI10" s="98">
        <f>T10+V10+Z10+AC10-AH10+(AA10-X10)</f>
        <v>6588.9712737481968</v>
      </c>
      <c r="AJ10" s="98">
        <f>D10-E10-X10</f>
        <v>-2500</v>
      </c>
      <c r="AK10" s="21">
        <f>AJ10-AI10</f>
        <v>-9088.9712737481968</v>
      </c>
      <c r="AL10" s="22">
        <f>MAX(AI10-AJ10,0)</f>
        <v>9088.9712737481968</v>
      </c>
      <c r="AM10" s="22">
        <f>AJ10+AL10</f>
        <v>6588.9712737481968</v>
      </c>
      <c r="AP10" s="21"/>
      <c r="AQ10" s="22"/>
    </row>
    <row r="11" spans="1:44" x14ac:dyDescent="0.35">
      <c r="B11" s="36" t="s">
        <v>41</v>
      </c>
      <c r="C11" s="37">
        <v>2024</v>
      </c>
      <c r="D11" s="97">
        <v>0</v>
      </c>
      <c r="E11" s="97">
        <v>0</v>
      </c>
      <c r="F11" s="188">
        <f>100000/12*2</f>
        <v>16666.666666666668</v>
      </c>
      <c r="G11" s="41">
        <f>D11+F11-E11</f>
        <v>16666.666666666668</v>
      </c>
      <c r="H11" s="35">
        <v>0.94</v>
      </c>
      <c r="I11" s="41">
        <f t="shared" ref="I11:I15" si="8">G11*H11</f>
        <v>15666.666666666666</v>
      </c>
      <c r="J11" s="32">
        <v>0.8</v>
      </c>
      <c r="K11" s="33">
        <v>0.14000000000000001</v>
      </c>
      <c r="L11" s="38">
        <f>'Exemple2-FinAnnée'!$J$23</f>
        <v>0.95441988103273045</v>
      </c>
      <c r="M11" s="38">
        <f>'Exemple2-FinAnnée'!$T$29</f>
        <v>0.98868144923546808</v>
      </c>
      <c r="N11" s="41">
        <f t="shared" ref="N11:N15" si="9">I11*J11*L11</f>
        <v>11962.062508943556</v>
      </c>
      <c r="Q11" s="105" t="str">
        <f t="shared" si="0"/>
        <v>Groupe A24</v>
      </c>
      <c r="R11" s="106">
        <f t="shared" si="1"/>
        <v>2024</v>
      </c>
      <c r="S11" s="171">
        <f t="shared" ref="S11:S15" si="10">I11*J11*K11*L11</f>
        <v>1674.688751252098</v>
      </c>
      <c r="T11" s="23">
        <f t="shared" si="2"/>
        <v>13636.751260195655</v>
      </c>
      <c r="U11" s="43">
        <v>0.1</v>
      </c>
      <c r="V11" s="25">
        <f t="shared" si="3"/>
        <v>1363.6751260195656</v>
      </c>
      <c r="W11" s="44">
        <v>0.15</v>
      </c>
      <c r="X11" s="34">
        <v>0</v>
      </c>
      <c r="Y11" s="33">
        <v>0.75</v>
      </c>
      <c r="Z11" s="39">
        <f t="shared" si="4"/>
        <v>2387.5</v>
      </c>
      <c r="AA11" s="96">
        <f t="shared" si="5"/>
        <v>0</v>
      </c>
      <c r="AB11" s="40">
        <v>7.0000000000000007E-2</v>
      </c>
      <c r="AC11" s="21">
        <f t="shared" si="6"/>
        <v>1084.2539893282301</v>
      </c>
      <c r="AE11" s="21"/>
      <c r="AF11" s="105" t="str">
        <f t="shared" si="7"/>
        <v>Groupe A24</v>
      </c>
      <c r="AG11" s="106">
        <f t="shared" si="7"/>
        <v>2024</v>
      </c>
      <c r="AH11" s="98">
        <f t="shared" ref="AH11:AH15" si="11">(F11-(G11*(1-H11)))*M11</f>
        <v>15489.342704689001</v>
      </c>
      <c r="AI11" s="98">
        <f t="shared" ref="AI11:AI15" si="12">T11+V11+Z11+AC11-AH11+(AA11-X11)</f>
        <v>2982.8376708544511</v>
      </c>
      <c r="AJ11" s="98">
        <f t="shared" ref="AJ11:AJ15" si="13">D11-E11-X11</f>
        <v>0</v>
      </c>
      <c r="AK11" s="21">
        <f t="shared" ref="AK11:AK15" si="14">AJ11-AI11</f>
        <v>-2982.8376708544511</v>
      </c>
      <c r="AL11" s="22">
        <f t="shared" ref="AL11:AL15" si="15">MAX(AI11-AJ11,0)</f>
        <v>2982.8376708544511</v>
      </c>
      <c r="AM11" s="22">
        <f t="shared" ref="AM11:AM15" si="16">AJ11+AL11</f>
        <v>2982.8376708544511</v>
      </c>
      <c r="AP11" s="21"/>
      <c r="AQ11" s="22"/>
    </row>
    <row r="12" spans="1:44" x14ac:dyDescent="0.35">
      <c r="B12" s="36" t="s">
        <v>40</v>
      </c>
      <c r="C12" s="37">
        <v>2023</v>
      </c>
      <c r="D12" s="97">
        <f t="shared" ref="D12" si="17">50000+50000*(1-90%)</f>
        <v>55000</v>
      </c>
      <c r="E12" s="97">
        <v>50000</v>
      </c>
      <c r="F12" s="188">
        <f t="shared" ref="F12" si="18">50000*90%</f>
        <v>45000</v>
      </c>
      <c r="G12" s="41">
        <f t="shared" ref="G12:G15" si="19">D12+F12-E12</f>
        <v>50000</v>
      </c>
      <c r="H12" s="35">
        <v>0.96</v>
      </c>
      <c r="I12" s="41">
        <f t="shared" si="8"/>
        <v>48000</v>
      </c>
      <c r="J12" s="32">
        <v>0.7</v>
      </c>
      <c r="K12" s="33">
        <v>0.14000000000000001</v>
      </c>
      <c r="L12" s="80">
        <f>L10</f>
        <v>0.95940241190546682</v>
      </c>
      <c r="M12" s="38">
        <f>'Exemple2-FinAnnée'!$S$29</f>
        <v>0.99355975550410913</v>
      </c>
      <c r="N12" s="41">
        <f t="shared" si="9"/>
        <v>32235.921040023684</v>
      </c>
      <c r="Q12" s="105" t="str">
        <f t="shared" si="0"/>
        <v>Groupe B23</v>
      </c>
      <c r="R12" s="106">
        <f t="shared" si="1"/>
        <v>2023</v>
      </c>
      <c r="S12" s="171">
        <f t="shared" si="10"/>
        <v>4513.0289456033161</v>
      </c>
      <c r="T12" s="23">
        <f t="shared" si="2"/>
        <v>36748.949985626998</v>
      </c>
      <c r="U12" s="43">
        <v>0.1</v>
      </c>
      <c r="V12" s="25">
        <f t="shared" si="3"/>
        <v>3674.8949985627</v>
      </c>
      <c r="W12" s="44">
        <v>0</v>
      </c>
      <c r="X12" s="34">
        <v>7500</v>
      </c>
      <c r="Y12" s="33">
        <v>0.75</v>
      </c>
      <c r="Z12" s="39">
        <f t="shared" si="4"/>
        <v>0</v>
      </c>
      <c r="AA12" s="96">
        <f t="shared" si="5"/>
        <v>7275</v>
      </c>
      <c r="AB12" s="40">
        <v>7.0000000000000007E-2</v>
      </c>
      <c r="AC12" s="21">
        <f t="shared" si="6"/>
        <v>3338.3607784938072</v>
      </c>
      <c r="AE12" s="21"/>
      <c r="AF12" s="105" t="str">
        <f t="shared" si="7"/>
        <v>Groupe B23</v>
      </c>
      <c r="AG12" s="106">
        <f t="shared" si="7"/>
        <v>2023</v>
      </c>
      <c r="AH12" s="98">
        <f t="shared" si="11"/>
        <v>42723.069486676693</v>
      </c>
      <c r="AI12" s="98">
        <f t="shared" si="12"/>
        <v>814.13627600680775</v>
      </c>
      <c r="AJ12" s="98">
        <f t="shared" si="13"/>
        <v>-2500</v>
      </c>
      <c r="AK12" s="21">
        <f t="shared" si="14"/>
        <v>-3314.1362760068077</v>
      </c>
      <c r="AL12" s="22">
        <f t="shared" si="15"/>
        <v>3314.1362760068077</v>
      </c>
      <c r="AM12" s="22">
        <f t="shared" si="16"/>
        <v>814.13627600680775</v>
      </c>
      <c r="AP12" s="21"/>
      <c r="AQ12" s="22"/>
    </row>
    <row r="13" spans="1:44" x14ac:dyDescent="0.35">
      <c r="B13" s="36" t="s">
        <v>43</v>
      </c>
      <c r="C13" s="37">
        <v>2024</v>
      </c>
      <c r="D13" s="97">
        <v>0</v>
      </c>
      <c r="E13" s="97">
        <v>0</v>
      </c>
      <c r="F13" s="188">
        <f>F11</f>
        <v>16666.666666666668</v>
      </c>
      <c r="G13" s="41">
        <f t="shared" si="19"/>
        <v>16666.666666666668</v>
      </c>
      <c r="H13" s="35">
        <v>0.94</v>
      </c>
      <c r="I13" s="41">
        <f t="shared" si="8"/>
        <v>15666.666666666666</v>
      </c>
      <c r="J13" s="32">
        <v>0.7</v>
      </c>
      <c r="K13" s="33">
        <v>0.14000000000000001</v>
      </c>
      <c r="L13" s="80">
        <f t="shared" ref="L13:L15" si="20">L11</f>
        <v>0.95441988103273045</v>
      </c>
      <c r="M13" s="38">
        <f>'Exemple2-FinAnnée'!$T$29</f>
        <v>0.98868144923546808</v>
      </c>
      <c r="N13" s="41">
        <f t="shared" si="9"/>
        <v>10466.804695325611</v>
      </c>
      <c r="Q13" s="105" t="str">
        <f t="shared" si="0"/>
        <v>Groupe B24</v>
      </c>
      <c r="R13" s="106">
        <f t="shared" si="1"/>
        <v>2024</v>
      </c>
      <c r="S13" s="171">
        <f t="shared" si="10"/>
        <v>1465.3526573455856</v>
      </c>
      <c r="T13" s="23">
        <f t="shared" si="2"/>
        <v>11932.157352671196</v>
      </c>
      <c r="U13" s="43">
        <v>0.1</v>
      </c>
      <c r="V13" s="25">
        <f t="shared" si="3"/>
        <v>1193.2157352671197</v>
      </c>
      <c r="W13" s="44">
        <v>0.15</v>
      </c>
      <c r="X13" s="34">
        <v>0</v>
      </c>
      <c r="Y13" s="33">
        <v>0.75</v>
      </c>
      <c r="Z13" s="39">
        <f t="shared" si="4"/>
        <v>2387.5</v>
      </c>
      <c r="AA13" s="96">
        <f t="shared" si="5"/>
        <v>0</v>
      </c>
      <c r="AB13" s="40">
        <v>7.0000000000000007E-2</v>
      </c>
      <c r="AC13" s="21">
        <f t="shared" si="6"/>
        <v>1084.2539893282301</v>
      </c>
      <c r="AE13" s="21"/>
      <c r="AF13" s="105" t="str">
        <f t="shared" si="7"/>
        <v>Groupe B24</v>
      </c>
      <c r="AG13" s="106">
        <f t="shared" si="7"/>
        <v>2024</v>
      </c>
      <c r="AH13" s="98">
        <f t="shared" si="11"/>
        <v>15489.342704689001</v>
      </c>
      <c r="AI13" s="98">
        <f t="shared" si="12"/>
        <v>1107.7843725775438</v>
      </c>
      <c r="AJ13" s="98">
        <f t="shared" si="13"/>
        <v>0</v>
      </c>
      <c r="AK13" s="21">
        <f t="shared" si="14"/>
        <v>-1107.7843725775438</v>
      </c>
      <c r="AL13" s="22">
        <f t="shared" si="15"/>
        <v>1107.7843725775438</v>
      </c>
      <c r="AM13" s="22">
        <f t="shared" si="16"/>
        <v>1107.7843725775438</v>
      </c>
      <c r="AP13" s="21"/>
      <c r="AQ13" s="22"/>
    </row>
    <row r="14" spans="1:44" x14ac:dyDescent="0.35">
      <c r="B14" s="36" t="s">
        <v>44</v>
      </c>
      <c r="C14" s="37">
        <v>2023</v>
      </c>
      <c r="D14" s="97">
        <f t="shared" ref="D14" si="21">50000+50000*(1-90%)</f>
        <v>55000</v>
      </c>
      <c r="E14" s="97">
        <v>50000</v>
      </c>
      <c r="F14" s="188">
        <f t="shared" ref="F14" si="22">50000*90%</f>
        <v>45000</v>
      </c>
      <c r="G14" s="41">
        <f t="shared" si="19"/>
        <v>50000</v>
      </c>
      <c r="H14" s="35">
        <v>0.96</v>
      </c>
      <c r="I14" s="41">
        <f t="shared" si="8"/>
        <v>48000</v>
      </c>
      <c r="J14" s="32">
        <v>0.5</v>
      </c>
      <c r="K14" s="33">
        <v>0.14000000000000001</v>
      </c>
      <c r="L14" s="80">
        <f t="shared" si="20"/>
        <v>0.95940241190546682</v>
      </c>
      <c r="M14" s="38">
        <f>'Exemple2-FinAnnée'!$S$29</f>
        <v>0.99355975550410913</v>
      </c>
      <c r="N14" s="41">
        <f t="shared" si="9"/>
        <v>23025.657885731205</v>
      </c>
      <c r="Q14" s="105" t="str">
        <f t="shared" si="0"/>
        <v>Groupe C23</v>
      </c>
      <c r="R14" s="106">
        <f t="shared" si="1"/>
        <v>2023</v>
      </c>
      <c r="S14" s="171">
        <f t="shared" si="10"/>
        <v>3223.5921040023691</v>
      </c>
      <c r="T14" s="23">
        <f t="shared" si="2"/>
        <v>26249.249989733573</v>
      </c>
      <c r="U14" s="43">
        <v>0.1</v>
      </c>
      <c r="V14" s="25">
        <f t="shared" si="3"/>
        <v>2624.9249989733576</v>
      </c>
      <c r="W14" s="44">
        <v>0</v>
      </c>
      <c r="X14" s="34">
        <v>7500</v>
      </c>
      <c r="Y14" s="33">
        <v>0.75</v>
      </c>
      <c r="Z14" s="39">
        <f t="shared" si="4"/>
        <v>0</v>
      </c>
      <c r="AA14" s="96">
        <f t="shared" si="5"/>
        <v>7275</v>
      </c>
      <c r="AB14" s="40">
        <v>7.0000000000000007E-2</v>
      </c>
      <c r="AC14" s="21">
        <f t="shared" si="6"/>
        <v>3338.3607784938072</v>
      </c>
      <c r="AE14" s="21"/>
      <c r="AF14" s="105" t="str">
        <f t="shared" si="7"/>
        <v>Groupe C23</v>
      </c>
      <c r="AG14" s="106">
        <f t="shared" si="7"/>
        <v>2023</v>
      </c>
      <c r="AH14" s="98">
        <f t="shared" si="11"/>
        <v>42723.069486676693</v>
      </c>
      <c r="AI14" s="98">
        <f t="shared" si="12"/>
        <v>-10735.533719475956</v>
      </c>
      <c r="AJ14" s="98">
        <f t="shared" si="13"/>
        <v>-2500</v>
      </c>
      <c r="AK14" s="21">
        <f t="shared" si="14"/>
        <v>8235.5337194759559</v>
      </c>
      <c r="AL14" s="22">
        <f t="shared" si="15"/>
        <v>0</v>
      </c>
      <c r="AM14" s="22">
        <f t="shared" si="16"/>
        <v>-2500</v>
      </c>
      <c r="AP14" s="21"/>
      <c r="AQ14" s="22"/>
    </row>
    <row r="15" spans="1:44" x14ac:dyDescent="0.35">
      <c r="B15" s="36" t="s">
        <v>82</v>
      </c>
      <c r="C15" s="37">
        <v>2024</v>
      </c>
      <c r="D15" s="97">
        <v>0</v>
      </c>
      <c r="E15" s="97">
        <v>0</v>
      </c>
      <c r="F15" s="188">
        <f>F13</f>
        <v>16666.666666666668</v>
      </c>
      <c r="G15" s="41">
        <f t="shared" si="19"/>
        <v>16666.666666666668</v>
      </c>
      <c r="H15" s="35">
        <v>0.94</v>
      </c>
      <c r="I15" s="41">
        <f t="shared" si="8"/>
        <v>15666.666666666666</v>
      </c>
      <c r="J15" s="32">
        <v>0.5</v>
      </c>
      <c r="K15" s="33">
        <v>0.14000000000000001</v>
      </c>
      <c r="L15" s="80">
        <f t="shared" si="20"/>
        <v>0.95441988103273045</v>
      </c>
      <c r="M15" s="38">
        <f>'Exemple2-FinAnnée'!$T$29</f>
        <v>0.98868144923546808</v>
      </c>
      <c r="N15" s="41">
        <f t="shared" si="9"/>
        <v>7476.2890680897217</v>
      </c>
      <c r="Q15" s="105" t="str">
        <f t="shared" si="0"/>
        <v>Groupe C24</v>
      </c>
      <c r="R15" s="106">
        <f t="shared" si="1"/>
        <v>2024</v>
      </c>
      <c r="S15" s="171">
        <f t="shared" si="10"/>
        <v>1046.6804695325611</v>
      </c>
      <c r="T15" s="23">
        <f t="shared" si="2"/>
        <v>8522.9695376222826</v>
      </c>
      <c r="U15" s="43">
        <v>0.1</v>
      </c>
      <c r="V15" s="25">
        <f t="shared" si="3"/>
        <v>852.29695376222833</v>
      </c>
      <c r="W15" s="44">
        <v>0.15</v>
      </c>
      <c r="X15" s="34">
        <v>0</v>
      </c>
      <c r="Y15" s="33">
        <v>0.75</v>
      </c>
      <c r="Z15" s="39">
        <f t="shared" si="4"/>
        <v>2387.5</v>
      </c>
      <c r="AA15" s="96">
        <f t="shared" si="5"/>
        <v>0</v>
      </c>
      <c r="AB15" s="40">
        <v>7.0000000000000007E-2</v>
      </c>
      <c r="AC15" s="21">
        <f t="shared" si="6"/>
        <v>1084.2539893282301</v>
      </c>
      <c r="AE15" s="21"/>
      <c r="AF15" s="105" t="str">
        <f t="shared" si="7"/>
        <v>Groupe C24</v>
      </c>
      <c r="AG15" s="106">
        <f t="shared" si="7"/>
        <v>2024</v>
      </c>
      <c r="AH15" s="98">
        <f t="shared" si="11"/>
        <v>15489.342704689001</v>
      </c>
      <c r="AI15" s="98">
        <f t="shared" si="12"/>
        <v>-2642.3222239762599</v>
      </c>
      <c r="AJ15" s="98">
        <f t="shared" si="13"/>
        <v>0</v>
      </c>
      <c r="AK15" s="21">
        <f t="shared" si="14"/>
        <v>2642.3222239762599</v>
      </c>
      <c r="AL15" s="22">
        <f t="shared" si="15"/>
        <v>0</v>
      </c>
      <c r="AM15" s="22">
        <f t="shared" si="16"/>
        <v>0</v>
      </c>
      <c r="AP15" s="21"/>
      <c r="AQ15" s="22"/>
    </row>
    <row r="16" spans="1:44" x14ac:dyDescent="0.35">
      <c r="B16" s="36" t="s">
        <v>1</v>
      </c>
      <c r="C16" s="20"/>
      <c r="D16" s="20"/>
      <c r="E16" s="20"/>
      <c r="F16" s="20"/>
      <c r="G16" s="21"/>
      <c r="H16" s="21"/>
      <c r="I16" s="21"/>
      <c r="J16" s="22"/>
      <c r="K16" s="21"/>
      <c r="L16" s="22"/>
      <c r="M16" s="2"/>
      <c r="N16" s="21"/>
      <c r="Q16" s="36" t="s">
        <v>1</v>
      </c>
      <c r="R16" s="20"/>
      <c r="S16" s="173"/>
      <c r="T16" s="23"/>
      <c r="U16" s="27"/>
      <c r="V16" s="25"/>
      <c r="W16" s="23"/>
      <c r="X16" s="21"/>
      <c r="Y16" s="21"/>
      <c r="Z16" s="26"/>
      <c r="AA16" s="21"/>
      <c r="AB16" s="26"/>
      <c r="AC16" s="21"/>
      <c r="AF16" s="36" t="s">
        <v>1</v>
      </c>
      <c r="AG16" s="20"/>
      <c r="AH16" s="2"/>
      <c r="AI16" s="2"/>
      <c r="AJ16" s="2"/>
      <c r="AK16" s="21"/>
      <c r="AL16" s="22"/>
      <c r="AM16" s="21"/>
      <c r="AN16" s="21"/>
      <c r="AO16" s="26"/>
      <c r="AP16" s="21"/>
      <c r="AQ16" s="22"/>
    </row>
    <row r="17" spans="2:43" x14ac:dyDescent="0.35">
      <c r="B17" s="20"/>
      <c r="C17" s="20"/>
      <c r="D17" s="20"/>
      <c r="E17" s="20"/>
      <c r="F17" s="20"/>
      <c r="G17" s="21"/>
      <c r="H17" s="21"/>
      <c r="I17" s="21"/>
      <c r="J17" s="22"/>
      <c r="K17" s="21"/>
      <c r="L17" s="22"/>
      <c r="M17" s="2"/>
      <c r="N17" s="21"/>
      <c r="Q17" s="20"/>
      <c r="R17" s="20"/>
      <c r="S17" s="21"/>
      <c r="T17" s="23"/>
      <c r="U17" s="27"/>
      <c r="V17" s="25"/>
      <c r="W17" s="23"/>
      <c r="X17" s="21"/>
      <c r="Y17" s="21"/>
      <c r="Z17" s="26"/>
      <c r="AA17" s="21"/>
      <c r="AB17" s="26"/>
      <c r="AC17" s="21"/>
      <c r="AF17" s="20"/>
      <c r="AG17" s="20"/>
      <c r="AH17" s="2"/>
      <c r="AI17" s="2"/>
      <c r="AJ17" s="2"/>
      <c r="AK17" s="21"/>
      <c r="AL17" s="22"/>
      <c r="AM17" s="21"/>
      <c r="AN17" s="21"/>
      <c r="AO17" s="26"/>
      <c r="AP17" s="21"/>
      <c r="AQ17" s="22"/>
    </row>
    <row r="18" spans="2:43" x14ac:dyDescent="0.35">
      <c r="B18" s="20"/>
      <c r="C18" s="20"/>
      <c r="D18" s="20"/>
      <c r="E18" s="20"/>
      <c r="F18" s="20"/>
      <c r="G18" s="21"/>
      <c r="H18" s="21"/>
      <c r="I18" s="21"/>
      <c r="J18" s="22"/>
      <c r="K18" s="21"/>
      <c r="L18" s="22"/>
      <c r="M18" s="2"/>
      <c r="N18" s="21"/>
      <c r="Q18" s="20"/>
      <c r="R18" s="20"/>
      <c r="S18" s="21"/>
      <c r="T18" s="23"/>
      <c r="U18" s="27"/>
      <c r="V18" s="25"/>
      <c r="W18" s="23"/>
      <c r="X18" s="117"/>
      <c r="Y18" s="21"/>
      <c r="Z18" s="26"/>
      <c r="AA18" s="21"/>
      <c r="AB18" s="26"/>
      <c r="AC18" s="21"/>
      <c r="AF18" s="20"/>
      <c r="AG18" s="20"/>
      <c r="AH18" s="2"/>
      <c r="AI18" s="2"/>
      <c r="AJ18" s="2"/>
      <c r="AK18" s="21"/>
      <c r="AL18" s="22"/>
      <c r="AM18" s="21"/>
      <c r="AN18" s="21"/>
      <c r="AO18" s="26"/>
      <c r="AP18" s="21"/>
      <c r="AQ18" s="22"/>
    </row>
    <row r="19" spans="2:43" x14ac:dyDescent="0.35">
      <c r="B19" s="20"/>
      <c r="C19" s="20"/>
      <c r="D19" s="20"/>
      <c r="E19" s="20"/>
      <c r="F19" s="20"/>
      <c r="G19" s="21"/>
      <c r="H19" s="21"/>
      <c r="I19" s="21"/>
      <c r="J19" s="22"/>
      <c r="K19" s="21"/>
      <c r="L19" s="22"/>
      <c r="M19" s="2"/>
      <c r="N19" s="21"/>
      <c r="Q19" s="20"/>
      <c r="R19" s="20"/>
      <c r="S19" s="21"/>
      <c r="T19" s="23"/>
      <c r="U19" s="24"/>
      <c r="V19" s="25"/>
      <c r="W19" s="23"/>
      <c r="X19" s="21"/>
      <c r="Y19" s="21"/>
      <c r="Z19" s="26"/>
      <c r="AA19" s="21"/>
      <c r="AB19" s="26"/>
      <c r="AC19" s="21"/>
      <c r="AF19" s="20"/>
      <c r="AG19" s="20"/>
      <c r="AH19" s="2"/>
      <c r="AI19" s="2"/>
      <c r="AJ19" s="2"/>
      <c r="AK19" s="21"/>
      <c r="AL19" s="22"/>
      <c r="AM19" s="21"/>
      <c r="AN19" s="21"/>
      <c r="AO19" s="26"/>
      <c r="AP19" s="21"/>
      <c r="AQ19" s="22"/>
    </row>
    <row r="20" spans="2:43" x14ac:dyDescent="0.35">
      <c r="B20" s="20"/>
      <c r="C20" s="20"/>
      <c r="D20" s="20"/>
      <c r="E20" s="20"/>
      <c r="F20" s="20"/>
      <c r="G20" s="21"/>
      <c r="H20" s="21"/>
      <c r="I20" s="21"/>
      <c r="J20" s="22"/>
      <c r="K20" s="21"/>
      <c r="L20" s="22"/>
      <c r="M20" s="2"/>
      <c r="N20" s="21"/>
      <c r="Q20" s="20"/>
      <c r="R20" s="20"/>
      <c r="S20" s="21"/>
      <c r="T20" s="23"/>
      <c r="U20" s="24"/>
      <c r="V20" s="25"/>
      <c r="W20" s="23"/>
      <c r="X20" s="21"/>
      <c r="Y20" s="21"/>
      <c r="Z20" s="26"/>
      <c r="AA20" s="21"/>
      <c r="AB20" s="26"/>
      <c r="AC20" s="21"/>
      <c r="AF20" s="20"/>
      <c r="AG20" s="20"/>
      <c r="AH20" s="2"/>
      <c r="AI20" s="2"/>
      <c r="AJ20" s="2"/>
      <c r="AK20" s="21"/>
      <c r="AL20" s="22"/>
      <c r="AM20" s="21"/>
      <c r="AN20" s="21"/>
      <c r="AO20" s="26"/>
      <c r="AP20" s="21"/>
      <c r="AQ20" s="22"/>
    </row>
    <row r="21" spans="2:43" x14ac:dyDescent="0.35">
      <c r="B21" s="20"/>
      <c r="C21" s="20"/>
      <c r="D21" s="20"/>
      <c r="E21" s="20"/>
      <c r="F21" s="20"/>
      <c r="G21" s="21"/>
      <c r="H21" s="21"/>
      <c r="I21" s="21"/>
      <c r="J21" s="22"/>
      <c r="K21" s="21"/>
      <c r="L21" s="22"/>
      <c r="M21" s="2"/>
      <c r="N21" s="21"/>
      <c r="Q21" s="20"/>
      <c r="R21" s="20"/>
      <c r="S21" s="21"/>
      <c r="T21" s="23"/>
      <c r="U21" s="24"/>
      <c r="V21" s="25"/>
      <c r="W21" s="23"/>
      <c r="X21" s="21"/>
      <c r="Y21" s="21"/>
      <c r="Z21" s="26"/>
      <c r="AA21" s="21"/>
      <c r="AB21" s="26"/>
      <c r="AC21" s="21"/>
      <c r="AF21" s="20"/>
      <c r="AG21" s="20"/>
      <c r="AH21" s="2"/>
      <c r="AI21" s="2"/>
      <c r="AJ21" s="2"/>
      <c r="AK21" s="21"/>
      <c r="AL21" s="22"/>
      <c r="AM21" s="21"/>
      <c r="AN21" s="21"/>
      <c r="AO21" s="26"/>
      <c r="AP21" s="21"/>
      <c r="AQ21" s="22"/>
    </row>
    <row r="22" spans="2:43" x14ac:dyDescent="0.35">
      <c r="B22" s="20"/>
      <c r="C22" s="20"/>
      <c r="D22" s="20"/>
      <c r="E22" s="20"/>
      <c r="F22" s="20"/>
      <c r="G22" s="21"/>
      <c r="H22" s="21"/>
      <c r="I22" s="21"/>
      <c r="J22" s="22"/>
      <c r="K22" s="21"/>
      <c r="L22" s="22"/>
      <c r="M22" s="2"/>
      <c r="N22" s="21"/>
      <c r="Q22" s="20"/>
      <c r="R22" s="20"/>
      <c r="S22" s="21"/>
      <c r="T22" s="23"/>
      <c r="U22" s="24"/>
      <c r="V22" s="25"/>
      <c r="W22" s="23"/>
      <c r="X22" s="21"/>
      <c r="Y22" s="21"/>
      <c r="Z22" s="26"/>
      <c r="AA22" s="21"/>
      <c r="AB22" s="26"/>
      <c r="AC22" s="21"/>
      <c r="AF22" s="20"/>
      <c r="AG22" s="20"/>
      <c r="AH22" s="2"/>
      <c r="AI22" s="2"/>
      <c r="AJ22" s="2"/>
      <c r="AK22" s="21"/>
      <c r="AL22" s="22"/>
      <c r="AM22" s="21"/>
      <c r="AN22" s="21"/>
      <c r="AO22" s="26"/>
      <c r="AP22" s="21"/>
      <c r="AQ22" s="22"/>
    </row>
    <row r="23" spans="2:43" x14ac:dyDescent="0.35">
      <c r="B23" s="20"/>
      <c r="C23" s="20"/>
      <c r="D23" s="20"/>
      <c r="E23" s="20"/>
      <c r="F23" s="20"/>
      <c r="G23" s="21"/>
      <c r="H23" s="21"/>
      <c r="I23" s="21"/>
      <c r="J23" s="22"/>
      <c r="K23" s="21"/>
      <c r="L23" s="22"/>
      <c r="M23" s="2"/>
      <c r="N23" s="21"/>
      <c r="Q23" s="20"/>
      <c r="R23" s="20"/>
      <c r="S23" s="21"/>
      <c r="T23" s="23"/>
      <c r="U23" s="24"/>
      <c r="V23" s="25"/>
      <c r="W23" s="23"/>
      <c r="X23" s="21"/>
      <c r="Y23" s="21"/>
      <c r="Z23" s="26"/>
      <c r="AA23" s="21"/>
      <c r="AB23" s="26"/>
      <c r="AC23" s="21"/>
      <c r="AF23" s="20"/>
      <c r="AG23" s="20"/>
      <c r="AH23" s="2"/>
      <c r="AI23" s="2"/>
      <c r="AJ23" s="2"/>
      <c r="AK23" s="21"/>
      <c r="AL23" s="22"/>
      <c r="AM23" s="21"/>
      <c r="AN23" s="21"/>
      <c r="AO23" s="26"/>
      <c r="AP23" s="21"/>
      <c r="AQ23" s="22"/>
    </row>
    <row r="24" spans="2:43" x14ac:dyDescent="0.35">
      <c r="B24" s="20"/>
      <c r="C24" s="20"/>
      <c r="D24" s="20"/>
      <c r="E24" s="20"/>
      <c r="F24" s="20"/>
      <c r="G24" s="21"/>
      <c r="H24" s="21"/>
      <c r="I24" s="21"/>
      <c r="J24" s="22"/>
      <c r="K24" s="21"/>
      <c r="L24" s="22"/>
      <c r="M24" s="2"/>
      <c r="N24" s="21"/>
      <c r="Q24" s="20"/>
      <c r="R24" s="20"/>
      <c r="S24" s="21"/>
      <c r="T24" s="23"/>
      <c r="U24" s="24"/>
      <c r="V24" s="25"/>
      <c r="W24" s="23"/>
      <c r="X24" s="21"/>
      <c r="Y24" s="21"/>
      <c r="Z24" s="26"/>
      <c r="AA24" s="21"/>
      <c r="AB24" s="26"/>
      <c r="AC24" s="21"/>
      <c r="AF24" s="20"/>
      <c r="AG24" s="20"/>
      <c r="AH24" s="2"/>
      <c r="AI24" s="2"/>
      <c r="AJ24" s="2"/>
      <c r="AK24" s="21"/>
      <c r="AL24" s="22"/>
      <c r="AM24" s="21"/>
      <c r="AN24" s="21"/>
      <c r="AO24" s="26"/>
      <c r="AP24" s="21"/>
      <c r="AQ24" s="22"/>
    </row>
    <row r="25" spans="2:43" x14ac:dyDescent="0.35">
      <c r="B25" s="20"/>
      <c r="C25" s="20"/>
      <c r="D25" s="20"/>
      <c r="E25" s="20"/>
      <c r="F25" s="20"/>
      <c r="G25" s="21"/>
      <c r="H25" s="21"/>
      <c r="I25" s="21"/>
      <c r="J25" s="22"/>
      <c r="K25" s="21"/>
      <c r="L25" s="22"/>
      <c r="M25" s="2"/>
      <c r="N25" s="21"/>
      <c r="Q25" s="20"/>
      <c r="R25" s="20"/>
      <c r="S25" s="21"/>
      <c r="T25" s="23"/>
      <c r="U25" s="24"/>
      <c r="V25" s="25"/>
      <c r="W25" s="23"/>
      <c r="X25" s="21"/>
      <c r="Y25" s="21"/>
      <c r="Z25" s="26"/>
      <c r="AA25" s="21"/>
      <c r="AB25" s="26"/>
      <c r="AC25" s="21"/>
      <c r="AF25" s="20"/>
      <c r="AG25" s="20"/>
      <c r="AH25" s="2"/>
      <c r="AI25" s="2"/>
      <c r="AJ25" s="2"/>
      <c r="AK25" s="21"/>
      <c r="AL25" s="22"/>
      <c r="AM25" s="21"/>
      <c r="AN25" s="21"/>
      <c r="AO25" s="26"/>
      <c r="AP25" s="21"/>
      <c r="AQ25" s="22"/>
    </row>
    <row r="26" spans="2:43" x14ac:dyDescent="0.35">
      <c r="B26" s="20"/>
      <c r="C26" s="20"/>
      <c r="D26" s="20"/>
      <c r="E26" s="20"/>
      <c r="F26" s="20"/>
      <c r="G26" s="21"/>
      <c r="H26" s="21"/>
      <c r="I26" s="21"/>
      <c r="J26" s="22"/>
      <c r="K26" s="21"/>
      <c r="L26" s="22"/>
      <c r="M26" s="2"/>
      <c r="N26" s="21"/>
      <c r="Q26" s="20"/>
      <c r="R26" s="20"/>
      <c r="S26" s="21"/>
      <c r="T26" s="23"/>
      <c r="U26" s="24"/>
      <c r="V26" s="25"/>
      <c r="W26" s="23"/>
      <c r="X26" s="21"/>
      <c r="Y26" s="21"/>
      <c r="Z26" s="26"/>
      <c r="AA26" s="21"/>
      <c r="AB26" s="26"/>
      <c r="AC26" s="21"/>
      <c r="AF26" s="20"/>
      <c r="AG26" s="20"/>
      <c r="AH26" s="2"/>
      <c r="AI26" s="2"/>
      <c r="AJ26" s="2"/>
      <c r="AK26" s="21"/>
      <c r="AL26" s="22"/>
      <c r="AM26" s="21"/>
      <c r="AN26" s="21"/>
      <c r="AO26" s="26"/>
      <c r="AP26" s="21"/>
      <c r="AQ26" s="22"/>
    </row>
    <row r="27" spans="2:43" x14ac:dyDescent="0.35">
      <c r="B27" s="20"/>
      <c r="C27" s="20"/>
      <c r="D27" s="20"/>
      <c r="E27" s="20"/>
      <c r="F27" s="20"/>
      <c r="G27" s="21"/>
      <c r="H27" s="21"/>
      <c r="I27" s="21"/>
      <c r="J27" s="22"/>
      <c r="K27" s="21"/>
      <c r="L27" s="22"/>
      <c r="M27" s="2"/>
      <c r="N27" s="21"/>
      <c r="Q27" s="20"/>
      <c r="R27" s="20"/>
      <c r="S27" s="21"/>
      <c r="T27" s="23"/>
      <c r="U27" s="24"/>
      <c r="V27" s="25"/>
      <c r="W27" s="23"/>
      <c r="X27" s="21"/>
      <c r="Y27" s="21"/>
      <c r="Z27" s="26"/>
      <c r="AA27" s="21"/>
      <c r="AB27" s="26"/>
      <c r="AC27" s="21"/>
      <c r="AF27" s="20"/>
      <c r="AG27" s="20"/>
      <c r="AH27" s="2"/>
      <c r="AI27" s="2"/>
      <c r="AJ27" s="2"/>
      <c r="AK27" s="21"/>
      <c r="AL27" s="22"/>
      <c r="AM27" s="21"/>
      <c r="AN27" s="21"/>
      <c r="AO27" s="26"/>
      <c r="AP27" s="21"/>
      <c r="AQ27" s="22"/>
    </row>
    <row r="28" spans="2:43" x14ac:dyDescent="0.35">
      <c r="B28" s="20"/>
      <c r="C28" s="20"/>
      <c r="D28" s="20"/>
      <c r="E28" s="20"/>
      <c r="F28" s="20"/>
      <c r="G28" s="21"/>
      <c r="H28" s="21"/>
      <c r="I28" s="21"/>
      <c r="J28" s="22"/>
      <c r="K28" s="21"/>
      <c r="L28" s="22"/>
      <c r="M28" s="2"/>
      <c r="N28" s="21"/>
      <c r="Q28" s="20"/>
      <c r="R28" s="20"/>
      <c r="S28" s="21"/>
      <c r="T28" s="23"/>
      <c r="U28" s="24"/>
      <c r="V28" s="25"/>
      <c r="W28" s="23"/>
      <c r="X28" s="21"/>
      <c r="Y28" s="21"/>
      <c r="Z28" s="26"/>
      <c r="AA28" s="21"/>
      <c r="AB28" s="26"/>
      <c r="AC28" s="21"/>
      <c r="AF28" s="20"/>
      <c r="AG28" s="20"/>
      <c r="AH28" s="2"/>
      <c r="AI28" s="2"/>
      <c r="AJ28" s="2"/>
      <c r="AK28" s="21"/>
      <c r="AL28" s="22"/>
      <c r="AM28" s="21"/>
      <c r="AN28" s="21"/>
      <c r="AO28" s="26"/>
      <c r="AP28" s="21"/>
      <c r="AQ28" s="22"/>
    </row>
    <row r="29" spans="2:43" x14ac:dyDescent="0.35">
      <c r="B29" s="20"/>
      <c r="C29" s="20"/>
      <c r="D29" s="20"/>
      <c r="E29" s="20"/>
      <c r="F29" s="20"/>
      <c r="G29" s="21"/>
      <c r="H29" s="21"/>
      <c r="I29" s="21"/>
      <c r="J29" s="22"/>
      <c r="K29" s="21"/>
      <c r="L29" s="22"/>
      <c r="M29" s="2"/>
      <c r="N29" s="21"/>
      <c r="Q29" s="20"/>
      <c r="R29" s="20"/>
      <c r="S29" s="21"/>
      <c r="T29" s="23"/>
      <c r="U29" s="24"/>
      <c r="V29" s="25"/>
      <c r="W29" s="23"/>
      <c r="X29" s="21"/>
      <c r="Y29" s="21"/>
      <c r="Z29" s="26"/>
      <c r="AA29" s="21"/>
      <c r="AB29" s="26"/>
      <c r="AC29" s="21"/>
      <c r="AF29" s="20"/>
      <c r="AG29" s="20"/>
      <c r="AH29" s="2"/>
      <c r="AI29" s="2"/>
      <c r="AJ29" s="2"/>
      <c r="AK29" s="21"/>
      <c r="AL29" s="22"/>
      <c r="AM29" s="21"/>
      <c r="AN29" s="21"/>
      <c r="AO29" s="26"/>
      <c r="AP29" s="21"/>
      <c r="AQ29" s="22"/>
    </row>
    <row r="30" spans="2:43" x14ac:dyDescent="0.35">
      <c r="B30" s="20"/>
      <c r="C30" s="20"/>
      <c r="D30" s="20"/>
      <c r="E30" s="20"/>
      <c r="F30" s="20"/>
      <c r="G30" s="21"/>
      <c r="H30" s="21"/>
      <c r="I30" s="21"/>
      <c r="J30" s="22"/>
      <c r="K30" s="21"/>
      <c r="L30" s="22"/>
      <c r="M30" s="2"/>
      <c r="N30" s="21"/>
      <c r="Q30" s="20"/>
      <c r="R30" s="20"/>
      <c r="S30" s="21"/>
      <c r="T30" s="23"/>
      <c r="U30" s="24"/>
      <c r="V30" s="25"/>
      <c r="W30" s="23"/>
      <c r="X30" s="21"/>
      <c r="Y30" s="21"/>
      <c r="Z30" s="26"/>
      <c r="AA30" s="21"/>
      <c r="AB30" s="26"/>
      <c r="AC30" s="21"/>
      <c r="AF30" s="20"/>
      <c r="AG30" s="20"/>
      <c r="AH30" s="2"/>
      <c r="AI30" s="2"/>
      <c r="AJ30" s="2"/>
      <c r="AK30" s="21"/>
      <c r="AL30" s="22"/>
      <c r="AM30" s="21"/>
      <c r="AN30" s="21"/>
      <c r="AO30" s="26"/>
      <c r="AP30" s="21"/>
      <c r="AQ30" s="22"/>
    </row>
    <row r="31" spans="2:43" s="31" customFormat="1" x14ac:dyDescent="0.35">
      <c r="B31" s="28" t="s">
        <v>0</v>
      </c>
      <c r="C31" s="28"/>
      <c r="D31" s="28"/>
      <c r="E31" s="28"/>
      <c r="F31" s="28"/>
      <c r="G31" s="29">
        <f>SUM(G10:G15)</f>
        <v>200000</v>
      </c>
      <c r="H31" s="42">
        <f>I31/G31</f>
        <v>0.95499999999999985</v>
      </c>
      <c r="I31" s="29">
        <f>SUM(I10:I15)</f>
        <v>190999.99999999997</v>
      </c>
      <c r="J31" s="30">
        <f>SUMPRODUCT(J10:J15,$I$10:$I$15)/$I$31</f>
        <v>0.66666666666666685</v>
      </c>
      <c r="K31" s="30">
        <f>SUMPRODUCT(K10:K15,$I$10:$I$15,$J$10:$J$15)/($I$31*J31)</f>
        <v>0.14000000000000004</v>
      </c>
      <c r="L31" s="42">
        <f>N31/(I31*J31)</f>
        <v>0.95817634409908659</v>
      </c>
      <c r="M31" s="42"/>
      <c r="N31" s="29">
        <f>SUM(N10:N15)</f>
        <v>122007.78781528371</v>
      </c>
      <c r="Q31" s="28" t="s">
        <v>0</v>
      </c>
      <c r="R31" s="28"/>
      <c r="S31" s="29">
        <f>SUM(S10:S15)</f>
        <v>17081.090294139722</v>
      </c>
      <c r="T31" s="29">
        <f>SUM(T10:T15)</f>
        <v>139088.87810942344</v>
      </c>
      <c r="U31" s="30">
        <f>V31/T31</f>
        <v>9.9999999999999992E-2</v>
      </c>
      <c r="V31" s="29">
        <f>SUM(V10:V15)</f>
        <v>13908.887810942344</v>
      </c>
      <c r="W31" s="30">
        <f>Z31/I31</f>
        <v>3.7500000000000006E-2</v>
      </c>
      <c r="X31" s="29">
        <f>SUM(X10:X15)</f>
        <v>22500</v>
      </c>
      <c r="Y31" s="29"/>
      <c r="Z31" s="29">
        <f>SUM(Z10:Z15)</f>
        <v>7162.5</v>
      </c>
      <c r="AA31" s="29">
        <f>SUM(AA10:AA15)</f>
        <v>21825</v>
      </c>
      <c r="AB31" s="30"/>
      <c r="AC31" s="29">
        <f>SUM(AC10:AC15)</f>
        <v>13267.84430346611</v>
      </c>
      <c r="AF31" s="28" t="s">
        <v>0</v>
      </c>
      <c r="AG31" s="28"/>
      <c r="AH31" s="29">
        <f>SUM(AH10:AH17)</f>
        <v>174637.2365740971</v>
      </c>
      <c r="AI31" s="29">
        <f>SUM(AI10:AI17)</f>
        <v>-1884.1263502652164</v>
      </c>
      <c r="AJ31" s="29">
        <f>SUM(AJ10:AJ17)</f>
        <v>-7500</v>
      </c>
      <c r="AK31" s="29">
        <f>SUM(AK10:AK15)</f>
        <v>-5615.8736497347836</v>
      </c>
      <c r="AL31" s="29">
        <f>SUM(AL10:AL15)</f>
        <v>16493.729593186999</v>
      </c>
      <c r="AM31" s="29"/>
      <c r="AN31" s="29"/>
      <c r="AO31" s="29"/>
      <c r="AP31" s="29"/>
      <c r="AQ31" s="29"/>
    </row>
    <row r="33" spans="2:32" x14ac:dyDescent="0.35">
      <c r="B33" s="164" t="s">
        <v>46</v>
      </c>
      <c r="Q33" s="164" t="s">
        <v>19</v>
      </c>
      <c r="R33" s="103"/>
      <c r="U33" s="103"/>
      <c r="V33" s="103"/>
      <c r="W33" s="103"/>
      <c r="X33" s="103"/>
      <c r="Y33" s="103"/>
      <c r="Z33" s="103"/>
      <c r="AF33" s="104" t="s">
        <v>9</v>
      </c>
    </row>
    <row r="34" spans="2:32" x14ac:dyDescent="0.35">
      <c r="B34" s="164" t="s">
        <v>83</v>
      </c>
      <c r="Q34" s="164" t="s">
        <v>6</v>
      </c>
      <c r="R34" s="103"/>
      <c r="U34" s="103"/>
      <c r="V34" s="103"/>
      <c r="W34" s="103"/>
      <c r="X34" s="103"/>
      <c r="Y34" s="103"/>
      <c r="Z34" s="103"/>
      <c r="AF34" s="104" t="s">
        <v>10</v>
      </c>
    </row>
    <row r="35" spans="2:32" x14ac:dyDescent="0.35">
      <c r="B35" s="164" t="s">
        <v>47</v>
      </c>
      <c r="Q35" s="103" t="s">
        <v>121</v>
      </c>
      <c r="R35" s="103"/>
      <c r="U35" s="103"/>
      <c r="V35" s="103"/>
      <c r="W35" s="103"/>
      <c r="X35" s="103"/>
      <c r="Y35" s="103"/>
      <c r="Z35" s="103"/>
      <c r="AF35" s="104" t="s">
        <v>14</v>
      </c>
    </row>
    <row r="36" spans="2:32" x14ac:dyDescent="0.35">
      <c r="B36" s="164" t="s">
        <v>48</v>
      </c>
      <c r="Q36" s="164" t="s">
        <v>141</v>
      </c>
      <c r="R36" s="103"/>
      <c r="U36" s="103"/>
      <c r="V36" s="103"/>
      <c r="W36" s="103"/>
      <c r="X36" s="103"/>
      <c r="Y36" s="103"/>
      <c r="Z36" s="103"/>
      <c r="AF36" s="104" t="s">
        <v>11</v>
      </c>
    </row>
    <row r="37" spans="2:32" x14ac:dyDescent="0.35">
      <c r="B37" s="164" t="s">
        <v>49</v>
      </c>
      <c r="Q37" s="182" t="s">
        <v>122</v>
      </c>
      <c r="R37" s="103"/>
      <c r="V37" s="103"/>
      <c r="W37" s="103"/>
      <c r="X37" s="103"/>
      <c r="Y37" s="103"/>
      <c r="Z37" s="103"/>
      <c r="AA37" s="103"/>
      <c r="AB37" s="103"/>
      <c r="AC37" s="103"/>
      <c r="AD37" s="103"/>
      <c r="AF37" s="104" t="s">
        <v>12</v>
      </c>
    </row>
    <row r="38" spans="2:32" x14ac:dyDescent="0.35">
      <c r="B38" s="164" t="s">
        <v>4</v>
      </c>
      <c r="Q38" s="164" t="s">
        <v>125</v>
      </c>
      <c r="R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F38" s="104" t="s">
        <v>13</v>
      </c>
    </row>
    <row r="39" spans="2:32" x14ac:dyDescent="0.35">
      <c r="B39" s="164" t="s">
        <v>53</v>
      </c>
      <c r="Q39" s="164" t="s">
        <v>123</v>
      </c>
      <c r="R39" s="103"/>
      <c r="U39" s="103"/>
    </row>
    <row r="40" spans="2:32" x14ac:dyDescent="0.35">
      <c r="B40" s="164" t="s">
        <v>50</v>
      </c>
      <c r="Q40" s="164" t="s">
        <v>84</v>
      </c>
      <c r="R40" s="103"/>
      <c r="U40" s="103"/>
    </row>
    <row r="41" spans="2:32" x14ac:dyDescent="0.35">
      <c r="B41" s="104" t="s">
        <v>51</v>
      </c>
      <c r="Q41" s="103" t="s">
        <v>7</v>
      </c>
      <c r="R41" s="103"/>
      <c r="U41" s="103"/>
    </row>
    <row r="42" spans="2:32" x14ac:dyDescent="0.35">
      <c r="B42" s="104" t="s">
        <v>52</v>
      </c>
      <c r="Q42" s="164" t="s">
        <v>124</v>
      </c>
      <c r="R42" s="103"/>
      <c r="U42" s="103"/>
    </row>
    <row r="43" spans="2:32" x14ac:dyDescent="0.35">
      <c r="B43" s="104" t="s">
        <v>5</v>
      </c>
      <c r="Q43" s="164" t="s">
        <v>8</v>
      </c>
      <c r="R43" s="103"/>
      <c r="U43" s="103"/>
    </row>
  </sheetData>
  <pageMargins left="0.7" right="0.7" top="0.75" bottom="0.75" header="0.3" footer="0.3"/>
  <pageSetup scale="53" orientation="portrait" r:id="rId1"/>
  <colBreaks count="1" manualBreakCount="1">
    <brk id="16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B1D2F-BE02-429B-AD3B-477B9506B984}">
  <dimension ref="B1:X88"/>
  <sheetViews>
    <sheetView showGridLines="0" zoomScale="90" zoomScaleNormal="90" workbookViewId="0"/>
  </sheetViews>
  <sheetFormatPr defaultColWidth="11.453125" defaultRowHeight="14.5" x14ac:dyDescent="0.35"/>
  <cols>
    <col min="1" max="1" width="3.54296875" style="53" customWidth="1"/>
    <col min="2" max="2" width="12.54296875" style="51" customWidth="1"/>
    <col min="3" max="3" width="12.54296875" style="52" customWidth="1"/>
    <col min="4" max="4" width="14.1796875" style="52" customWidth="1"/>
    <col min="5" max="10" width="12.54296875" style="52" customWidth="1"/>
    <col min="11" max="13" width="3.54296875" style="53" customWidth="1"/>
    <col min="14" max="14" width="12.54296875" style="51" customWidth="1"/>
    <col min="15" max="22" width="12.54296875" style="52" customWidth="1"/>
    <col min="23" max="24" width="3.54296875" style="53" customWidth="1"/>
    <col min="25" max="228" width="11.453125" style="53"/>
    <col min="229" max="229" width="8.54296875" style="53" customWidth="1"/>
    <col min="230" max="230" width="13.453125" style="53" customWidth="1"/>
    <col min="231" max="231" width="12.453125" style="53" customWidth="1"/>
    <col min="232" max="232" width="13.54296875" style="53" customWidth="1"/>
    <col min="233" max="236" width="11.54296875" style="53" customWidth="1"/>
    <col min="237" max="237" width="12.81640625" style="53" customWidth="1"/>
    <col min="238" max="238" width="11.54296875" style="53" customWidth="1"/>
    <col min="239" max="239" width="5.453125" style="53" customWidth="1"/>
    <col min="240" max="484" width="11.453125" style="53"/>
    <col min="485" max="485" width="8.54296875" style="53" customWidth="1"/>
    <col min="486" max="486" width="13.453125" style="53" customWidth="1"/>
    <col min="487" max="487" width="12.453125" style="53" customWidth="1"/>
    <col min="488" max="488" width="13.54296875" style="53" customWidth="1"/>
    <col min="489" max="492" width="11.54296875" style="53" customWidth="1"/>
    <col min="493" max="493" width="12.81640625" style="53" customWidth="1"/>
    <col min="494" max="494" width="11.54296875" style="53" customWidth="1"/>
    <col min="495" max="495" width="5.453125" style="53" customWidth="1"/>
    <col min="496" max="740" width="11.453125" style="53"/>
    <col min="741" max="741" width="8.54296875" style="53" customWidth="1"/>
    <col min="742" max="742" width="13.453125" style="53" customWidth="1"/>
    <col min="743" max="743" width="12.453125" style="53" customWidth="1"/>
    <col min="744" max="744" width="13.54296875" style="53" customWidth="1"/>
    <col min="745" max="748" width="11.54296875" style="53" customWidth="1"/>
    <col min="749" max="749" width="12.81640625" style="53" customWidth="1"/>
    <col min="750" max="750" width="11.54296875" style="53" customWidth="1"/>
    <col min="751" max="751" width="5.453125" style="53" customWidth="1"/>
    <col min="752" max="996" width="11.453125" style="53"/>
    <col min="997" max="997" width="8.54296875" style="53" customWidth="1"/>
    <col min="998" max="998" width="13.453125" style="53" customWidth="1"/>
    <col min="999" max="999" width="12.453125" style="53" customWidth="1"/>
    <col min="1000" max="1000" width="13.54296875" style="53" customWidth="1"/>
    <col min="1001" max="1004" width="11.54296875" style="53" customWidth="1"/>
    <col min="1005" max="1005" width="12.81640625" style="53" customWidth="1"/>
    <col min="1006" max="1006" width="11.54296875" style="53" customWidth="1"/>
    <col min="1007" max="1007" width="5.453125" style="53" customWidth="1"/>
    <col min="1008" max="1252" width="11.453125" style="53"/>
    <col min="1253" max="1253" width="8.54296875" style="53" customWidth="1"/>
    <col min="1254" max="1254" width="13.453125" style="53" customWidth="1"/>
    <col min="1255" max="1255" width="12.453125" style="53" customWidth="1"/>
    <col min="1256" max="1256" width="13.54296875" style="53" customWidth="1"/>
    <col min="1257" max="1260" width="11.54296875" style="53" customWidth="1"/>
    <col min="1261" max="1261" width="12.81640625" style="53" customWidth="1"/>
    <col min="1262" max="1262" width="11.54296875" style="53" customWidth="1"/>
    <col min="1263" max="1263" width="5.453125" style="53" customWidth="1"/>
    <col min="1264" max="1508" width="11.453125" style="53"/>
    <col min="1509" max="1509" width="8.54296875" style="53" customWidth="1"/>
    <col min="1510" max="1510" width="13.453125" style="53" customWidth="1"/>
    <col min="1511" max="1511" width="12.453125" style="53" customWidth="1"/>
    <col min="1512" max="1512" width="13.54296875" style="53" customWidth="1"/>
    <col min="1513" max="1516" width="11.54296875" style="53" customWidth="1"/>
    <col min="1517" max="1517" width="12.81640625" style="53" customWidth="1"/>
    <col min="1518" max="1518" width="11.54296875" style="53" customWidth="1"/>
    <col min="1519" max="1519" width="5.453125" style="53" customWidth="1"/>
    <col min="1520" max="1764" width="11.453125" style="53"/>
    <col min="1765" max="1765" width="8.54296875" style="53" customWidth="1"/>
    <col min="1766" max="1766" width="13.453125" style="53" customWidth="1"/>
    <col min="1767" max="1767" width="12.453125" style="53" customWidth="1"/>
    <col min="1768" max="1768" width="13.54296875" style="53" customWidth="1"/>
    <col min="1769" max="1772" width="11.54296875" style="53" customWidth="1"/>
    <col min="1773" max="1773" width="12.81640625" style="53" customWidth="1"/>
    <col min="1774" max="1774" width="11.54296875" style="53" customWidth="1"/>
    <col min="1775" max="1775" width="5.453125" style="53" customWidth="1"/>
    <col min="1776" max="2020" width="11.453125" style="53"/>
    <col min="2021" max="2021" width="8.54296875" style="53" customWidth="1"/>
    <col min="2022" max="2022" width="13.453125" style="53" customWidth="1"/>
    <col min="2023" max="2023" width="12.453125" style="53" customWidth="1"/>
    <col min="2024" max="2024" width="13.54296875" style="53" customWidth="1"/>
    <col min="2025" max="2028" width="11.54296875" style="53" customWidth="1"/>
    <col min="2029" max="2029" width="12.81640625" style="53" customWidth="1"/>
    <col min="2030" max="2030" width="11.54296875" style="53" customWidth="1"/>
    <col min="2031" max="2031" width="5.453125" style="53" customWidth="1"/>
    <col min="2032" max="2276" width="11.453125" style="53"/>
    <col min="2277" max="2277" width="8.54296875" style="53" customWidth="1"/>
    <col min="2278" max="2278" width="13.453125" style="53" customWidth="1"/>
    <col min="2279" max="2279" width="12.453125" style="53" customWidth="1"/>
    <col min="2280" max="2280" width="13.54296875" style="53" customWidth="1"/>
    <col min="2281" max="2284" width="11.54296875" style="53" customWidth="1"/>
    <col min="2285" max="2285" width="12.81640625" style="53" customWidth="1"/>
    <col min="2286" max="2286" width="11.54296875" style="53" customWidth="1"/>
    <col min="2287" max="2287" width="5.453125" style="53" customWidth="1"/>
    <col min="2288" max="2532" width="11.453125" style="53"/>
    <col min="2533" max="2533" width="8.54296875" style="53" customWidth="1"/>
    <col min="2534" max="2534" width="13.453125" style="53" customWidth="1"/>
    <col min="2535" max="2535" width="12.453125" style="53" customWidth="1"/>
    <col min="2536" max="2536" width="13.54296875" style="53" customWidth="1"/>
    <col min="2537" max="2540" width="11.54296875" style="53" customWidth="1"/>
    <col min="2541" max="2541" width="12.81640625" style="53" customWidth="1"/>
    <col min="2542" max="2542" width="11.54296875" style="53" customWidth="1"/>
    <col min="2543" max="2543" width="5.453125" style="53" customWidth="1"/>
    <col min="2544" max="2788" width="11.453125" style="53"/>
    <col min="2789" max="2789" width="8.54296875" style="53" customWidth="1"/>
    <col min="2790" max="2790" width="13.453125" style="53" customWidth="1"/>
    <col min="2791" max="2791" width="12.453125" style="53" customWidth="1"/>
    <col min="2792" max="2792" width="13.54296875" style="53" customWidth="1"/>
    <col min="2793" max="2796" width="11.54296875" style="53" customWidth="1"/>
    <col min="2797" max="2797" width="12.81640625" style="53" customWidth="1"/>
    <col min="2798" max="2798" width="11.54296875" style="53" customWidth="1"/>
    <col min="2799" max="2799" width="5.453125" style="53" customWidth="1"/>
    <col min="2800" max="3044" width="11.453125" style="53"/>
    <col min="3045" max="3045" width="8.54296875" style="53" customWidth="1"/>
    <col min="3046" max="3046" width="13.453125" style="53" customWidth="1"/>
    <col min="3047" max="3047" width="12.453125" style="53" customWidth="1"/>
    <col min="3048" max="3048" width="13.54296875" style="53" customWidth="1"/>
    <col min="3049" max="3052" width="11.54296875" style="53" customWidth="1"/>
    <col min="3053" max="3053" width="12.81640625" style="53" customWidth="1"/>
    <col min="3054" max="3054" width="11.54296875" style="53" customWidth="1"/>
    <col min="3055" max="3055" width="5.453125" style="53" customWidth="1"/>
    <col min="3056" max="3300" width="11.453125" style="53"/>
    <col min="3301" max="3301" width="8.54296875" style="53" customWidth="1"/>
    <col min="3302" max="3302" width="13.453125" style="53" customWidth="1"/>
    <col min="3303" max="3303" width="12.453125" style="53" customWidth="1"/>
    <col min="3304" max="3304" width="13.54296875" style="53" customWidth="1"/>
    <col min="3305" max="3308" width="11.54296875" style="53" customWidth="1"/>
    <col min="3309" max="3309" width="12.81640625" style="53" customWidth="1"/>
    <col min="3310" max="3310" width="11.54296875" style="53" customWidth="1"/>
    <col min="3311" max="3311" width="5.453125" style="53" customWidth="1"/>
    <col min="3312" max="3556" width="11.453125" style="53"/>
    <col min="3557" max="3557" width="8.54296875" style="53" customWidth="1"/>
    <col min="3558" max="3558" width="13.453125" style="53" customWidth="1"/>
    <col min="3559" max="3559" width="12.453125" style="53" customWidth="1"/>
    <col min="3560" max="3560" width="13.54296875" style="53" customWidth="1"/>
    <col min="3561" max="3564" width="11.54296875" style="53" customWidth="1"/>
    <col min="3565" max="3565" width="12.81640625" style="53" customWidth="1"/>
    <col min="3566" max="3566" width="11.54296875" style="53" customWidth="1"/>
    <col min="3567" max="3567" width="5.453125" style="53" customWidth="1"/>
    <col min="3568" max="3812" width="11.453125" style="53"/>
    <col min="3813" max="3813" width="8.54296875" style="53" customWidth="1"/>
    <col min="3814" max="3814" width="13.453125" style="53" customWidth="1"/>
    <col min="3815" max="3815" width="12.453125" style="53" customWidth="1"/>
    <col min="3816" max="3816" width="13.54296875" style="53" customWidth="1"/>
    <col min="3817" max="3820" width="11.54296875" style="53" customWidth="1"/>
    <col min="3821" max="3821" width="12.81640625" style="53" customWidth="1"/>
    <col min="3822" max="3822" width="11.54296875" style="53" customWidth="1"/>
    <col min="3823" max="3823" width="5.453125" style="53" customWidth="1"/>
    <col min="3824" max="4068" width="11.453125" style="53"/>
    <col min="4069" max="4069" width="8.54296875" style="53" customWidth="1"/>
    <col min="4070" max="4070" width="13.453125" style="53" customWidth="1"/>
    <col min="4071" max="4071" width="12.453125" style="53" customWidth="1"/>
    <col min="4072" max="4072" width="13.54296875" style="53" customWidth="1"/>
    <col min="4073" max="4076" width="11.54296875" style="53" customWidth="1"/>
    <col min="4077" max="4077" width="12.81640625" style="53" customWidth="1"/>
    <col min="4078" max="4078" width="11.54296875" style="53" customWidth="1"/>
    <col min="4079" max="4079" width="5.453125" style="53" customWidth="1"/>
    <col min="4080" max="4324" width="11.453125" style="53"/>
    <col min="4325" max="4325" width="8.54296875" style="53" customWidth="1"/>
    <col min="4326" max="4326" width="13.453125" style="53" customWidth="1"/>
    <col min="4327" max="4327" width="12.453125" style="53" customWidth="1"/>
    <col min="4328" max="4328" width="13.54296875" style="53" customWidth="1"/>
    <col min="4329" max="4332" width="11.54296875" style="53" customWidth="1"/>
    <col min="4333" max="4333" width="12.81640625" style="53" customWidth="1"/>
    <col min="4334" max="4334" width="11.54296875" style="53" customWidth="1"/>
    <col min="4335" max="4335" width="5.453125" style="53" customWidth="1"/>
    <col min="4336" max="4580" width="11.453125" style="53"/>
    <col min="4581" max="4581" width="8.54296875" style="53" customWidth="1"/>
    <col min="4582" max="4582" width="13.453125" style="53" customWidth="1"/>
    <col min="4583" max="4583" width="12.453125" style="53" customWidth="1"/>
    <col min="4584" max="4584" width="13.54296875" style="53" customWidth="1"/>
    <col min="4585" max="4588" width="11.54296875" style="53" customWidth="1"/>
    <col min="4589" max="4589" width="12.81640625" style="53" customWidth="1"/>
    <col min="4590" max="4590" width="11.54296875" style="53" customWidth="1"/>
    <col min="4591" max="4591" width="5.453125" style="53" customWidth="1"/>
    <col min="4592" max="4836" width="11.453125" style="53"/>
    <col min="4837" max="4837" width="8.54296875" style="53" customWidth="1"/>
    <col min="4838" max="4838" width="13.453125" style="53" customWidth="1"/>
    <col min="4839" max="4839" width="12.453125" style="53" customWidth="1"/>
    <col min="4840" max="4840" width="13.54296875" style="53" customWidth="1"/>
    <col min="4841" max="4844" width="11.54296875" style="53" customWidth="1"/>
    <col min="4845" max="4845" width="12.81640625" style="53" customWidth="1"/>
    <col min="4846" max="4846" width="11.54296875" style="53" customWidth="1"/>
    <col min="4847" max="4847" width="5.453125" style="53" customWidth="1"/>
    <col min="4848" max="5092" width="11.453125" style="53"/>
    <col min="5093" max="5093" width="8.54296875" style="53" customWidth="1"/>
    <col min="5094" max="5094" width="13.453125" style="53" customWidth="1"/>
    <col min="5095" max="5095" width="12.453125" style="53" customWidth="1"/>
    <col min="5096" max="5096" width="13.54296875" style="53" customWidth="1"/>
    <col min="5097" max="5100" width="11.54296875" style="53" customWidth="1"/>
    <col min="5101" max="5101" width="12.81640625" style="53" customWidth="1"/>
    <col min="5102" max="5102" width="11.54296875" style="53" customWidth="1"/>
    <col min="5103" max="5103" width="5.453125" style="53" customWidth="1"/>
    <col min="5104" max="5348" width="11.453125" style="53"/>
    <col min="5349" max="5349" width="8.54296875" style="53" customWidth="1"/>
    <col min="5350" max="5350" width="13.453125" style="53" customWidth="1"/>
    <col min="5351" max="5351" width="12.453125" style="53" customWidth="1"/>
    <col min="5352" max="5352" width="13.54296875" style="53" customWidth="1"/>
    <col min="5353" max="5356" width="11.54296875" style="53" customWidth="1"/>
    <col min="5357" max="5357" width="12.81640625" style="53" customWidth="1"/>
    <col min="5358" max="5358" width="11.54296875" style="53" customWidth="1"/>
    <col min="5359" max="5359" width="5.453125" style="53" customWidth="1"/>
    <col min="5360" max="5604" width="11.453125" style="53"/>
    <col min="5605" max="5605" width="8.54296875" style="53" customWidth="1"/>
    <col min="5606" max="5606" width="13.453125" style="53" customWidth="1"/>
    <col min="5607" max="5607" width="12.453125" style="53" customWidth="1"/>
    <col min="5608" max="5608" width="13.54296875" style="53" customWidth="1"/>
    <col min="5609" max="5612" width="11.54296875" style="53" customWidth="1"/>
    <col min="5613" max="5613" width="12.81640625" style="53" customWidth="1"/>
    <col min="5614" max="5614" width="11.54296875" style="53" customWidth="1"/>
    <col min="5615" max="5615" width="5.453125" style="53" customWidth="1"/>
    <col min="5616" max="5860" width="11.453125" style="53"/>
    <col min="5861" max="5861" width="8.54296875" style="53" customWidth="1"/>
    <col min="5862" max="5862" width="13.453125" style="53" customWidth="1"/>
    <col min="5863" max="5863" width="12.453125" style="53" customWidth="1"/>
    <col min="5864" max="5864" width="13.54296875" style="53" customWidth="1"/>
    <col min="5865" max="5868" width="11.54296875" style="53" customWidth="1"/>
    <col min="5869" max="5869" width="12.81640625" style="53" customWidth="1"/>
    <col min="5870" max="5870" width="11.54296875" style="53" customWidth="1"/>
    <col min="5871" max="5871" width="5.453125" style="53" customWidth="1"/>
    <col min="5872" max="6116" width="11.453125" style="53"/>
    <col min="6117" max="6117" width="8.54296875" style="53" customWidth="1"/>
    <col min="6118" max="6118" width="13.453125" style="53" customWidth="1"/>
    <col min="6119" max="6119" width="12.453125" style="53" customWidth="1"/>
    <col min="6120" max="6120" width="13.54296875" style="53" customWidth="1"/>
    <col min="6121" max="6124" width="11.54296875" style="53" customWidth="1"/>
    <col min="6125" max="6125" width="12.81640625" style="53" customWidth="1"/>
    <col min="6126" max="6126" width="11.54296875" style="53" customWidth="1"/>
    <col min="6127" max="6127" width="5.453125" style="53" customWidth="1"/>
    <col min="6128" max="6372" width="11.453125" style="53"/>
    <col min="6373" max="6373" width="8.54296875" style="53" customWidth="1"/>
    <col min="6374" max="6374" width="13.453125" style="53" customWidth="1"/>
    <col min="6375" max="6375" width="12.453125" style="53" customWidth="1"/>
    <col min="6376" max="6376" width="13.54296875" style="53" customWidth="1"/>
    <col min="6377" max="6380" width="11.54296875" style="53" customWidth="1"/>
    <col min="6381" max="6381" width="12.81640625" style="53" customWidth="1"/>
    <col min="6382" max="6382" width="11.54296875" style="53" customWidth="1"/>
    <col min="6383" max="6383" width="5.453125" style="53" customWidth="1"/>
    <col min="6384" max="6628" width="11.453125" style="53"/>
    <col min="6629" max="6629" width="8.54296875" style="53" customWidth="1"/>
    <col min="6630" max="6630" width="13.453125" style="53" customWidth="1"/>
    <col min="6631" max="6631" width="12.453125" style="53" customWidth="1"/>
    <col min="6632" max="6632" width="13.54296875" style="53" customWidth="1"/>
    <col min="6633" max="6636" width="11.54296875" style="53" customWidth="1"/>
    <col min="6637" max="6637" width="12.81640625" style="53" customWidth="1"/>
    <col min="6638" max="6638" width="11.54296875" style="53" customWidth="1"/>
    <col min="6639" max="6639" width="5.453125" style="53" customWidth="1"/>
    <col min="6640" max="6884" width="11.453125" style="53"/>
    <col min="6885" max="6885" width="8.54296875" style="53" customWidth="1"/>
    <col min="6886" max="6886" width="13.453125" style="53" customWidth="1"/>
    <col min="6887" max="6887" width="12.453125" style="53" customWidth="1"/>
    <col min="6888" max="6888" width="13.54296875" style="53" customWidth="1"/>
    <col min="6889" max="6892" width="11.54296875" style="53" customWidth="1"/>
    <col min="6893" max="6893" width="12.81640625" style="53" customWidth="1"/>
    <col min="6894" max="6894" width="11.54296875" style="53" customWidth="1"/>
    <col min="6895" max="6895" width="5.453125" style="53" customWidth="1"/>
    <col min="6896" max="7140" width="11.453125" style="53"/>
    <col min="7141" max="7141" width="8.54296875" style="53" customWidth="1"/>
    <col min="7142" max="7142" width="13.453125" style="53" customWidth="1"/>
    <col min="7143" max="7143" width="12.453125" style="53" customWidth="1"/>
    <col min="7144" max="7144" width="13.54296875" style="53" customWidth="1"/>
    <col min="7145" max="7148" width="11.54296875" style="53" customWidth="1"/>
    <col min="7149" max="7149" width="12.81640625" style="53" customWidth="1"/>
    <col min="7150" max="7150" width="11.54296875" style="53" customWidth="1"/>
    <col min="7151" max="7151" width="5.453125" style="53" customWidth="1"/>
    <col min="7152" max="7396" width="11.453125" style="53"/>
    <col min="7397" max="7397" width="8.54296875" style="53" customWidth="1"/>
    <col min="7398" max="7398" width="13.453125" style="53" customWidth="1"/>
    <col min="7399" max="7399" width="12.453125" style="53" customWidth="1"/>
    <col min="7400" max="7400" width="13.54296875" style="53" customWidth="1"/>
    <col min="7401" max="7404" width="11.54296875" style="53" customWidth="1"/>
    <col min="7405" max="7405" width="12.81640625" style="53" customWidth="1"/>
    <col min="7406" max="7406" width="11.54296875" style="53" customWidth="1"/>
    <col min="7407" max="7407" width="5.453125" style="53" customWidth="1"/>
    <col min="7408" max="7652" width="11.453125" style="53"/>
    <col min="7653" max="7653" width="8.54296875" style="53" customWidth="1"/>
    <col min="7654" max="7654" width="13.453125" style="53" customWidth="1"/>
    <col min="7655" max="7655" width="12.453125" style="53" customWidth="1"/>
    <col min="7656" max="7656" width="13.54296875" style="53" customWidth="1"/>
    <col min="7657" max="7660" width="11.54296875" style="53" customWidth="1"/>
    <col min="7661" max="7661" width="12.81640625" style="53" customWidth="1"/>
    <col min="7662" max="7662" width="11.54296875" style="53" customWidth="1"/>
    <col min="7663" max="7663" width="5.453125" style="53" customWidth="1"/>
    <col min="7664" max="7908" width="11.453125" style="53"/>
    <col min="7909" max="7909" width="8.54296875" style="53" customWidth="1"/>
    <col min="7910" max="7910" width="13.453125" style="53" customWidth="1"/>
    <col min="7911" max="7911" width="12.453125" style="53" customWidth="1"/>
    <col min="7912" max="7912" width="13.54296875" style="53" customWidth="1"/>
    <col min="7913" max="7916" width="11.54296875" style="53" customWidth="1"/>
    <col min="7917" max="7917" width="12.81640625" style="53" customWidth="1"/>
    <col min="7918" max="7918" width="11.54296875" style="53" customWidth="1"/>
    <col min="7919" max="7919" width="5.453125" style="53" customWidth="1"/>
    <col min="7920" max="8164" width="11.453125" style="53"/>
    <col min="8165" max="8165" width="8.54296875" style="53" customWidth="1"/>
    <col min="8166" max="8166" width="13.453125" style="53" customWidth="1"/>
    <col min="8167" max="8167" width="12.453125" style="53" customWidth="1"/>
    <col min="8168" max="8168" width="13.54296875" style="53" customWidth="1"/>
    <col min="8169" max="8172" width="11.54296875" style="53" customWidth="1"/>
    <col min="8173" max="8173" width="12.81640625" style="53" customWidth="1"/>
    <col min="8174" max="8174" width="11.54296875" style="53" customWidth="1"/>
    <col min="8175" max="8175" width="5.453125" style="53" customWidth="1"/>
    <col min="8176" max="8420" width="11.453125" style="53"/>
    <col min="8421" max="8421" width="8.54296875" style="53" customWidth="1"/>
    <col min="8422" max="8422" width="13.453125" style="53" customWidth="1"/>
    <col min="8423" max="8423" width="12.453125" style="53" customWidth="1"/>
    <col min="8424" max="8424" width="13.54296875" style="53" customWidth="1"/>
    <col min="8425" max="8428" width="11.54296875" style="53" customWidth="1"/>
    <col min="8429" max="8429" width="12.81640625" style="53" customWidth="1"/>
    <col min="8430" max="8430" width="11.54296875" style="53" customWidth="1"/>
    <col min="8431" max="8431" width="5.453125" style="53" customWidth="1"/>
    <col min="8432" max="8676" width="11.453125" style="53"/>
    <col min="8677" max="8677" width="8.54296875" style="53" customWidth="1"/>
    <col min="8678" max="8678" width="13.453125" style="53" customWidth="1"/>
    <col min="8679" max="8679" width="12.453125" style="53" customWidth="1"/>
    <col min="8680" max="8680" width="13.54296875" style="53" customWidth="1"/>
    <col min="8681" max="8684" width="11.54296875" style="53" customWidth="1"/>
    <col min="8685" max="8685" width="12.81640625" style="53" customWidth="1"/>
    <col min="8686" max="8686" width="11.54296875" style="53" customWidth="1"/>
    <col min="8687" max="8687" width="5.453125" style="53" customWidth="1"/>
    <col min="8688" max="8932" width="11.453125" style="53"/>
    <col min="8933" max="8933" width="8.54296875" style="53" customWidth="1"/>
    <col min="8934" max="8934" width="13.453125" style="53" customWidth="1"/>
    <col min="8935" max="8935" width="12.453125" style="53" customWidth="1"/>
    <col min="8936" max="8936" width="13.54296875" style="53" customWidth="1"/>
    <col min="8937" max="8940" width="11.54296875" style="53" customWidth="1"/>
    <col min="8941" max="8941" width="12.81640625" style="53" customWidth="1"/>
    <col min="8942" max="8942" width="11.54296875" style="53" customWidth="1"/>
    <col min="8943" max="8943" width="5.453125" style="53" customWidth="1"/>
    <col min="8944" max="9188" width="11.453125" style="53"/>
    <col min="9189" max="9189" width="8.54296875" style="53" customWidth="1"/>
    <col min="9190" max="9190" width="13.453125" style="53" customWidth="1"/>
    <col min="9191" max="9191" width="12.453125" style="53" customWidth="1"/>
    <col min="9192" max="9192" width="13.54296875" style="53" customWidth="1"/>
    <col min="9193" max="9196" width="11.54296875" style="53" customWidth="1"/>
    <col min="9197" max="9197" width="12.81640625" style="53" customWidth="1"/>
    <col min="9198" max="9198" width="11.54296875" style="53" customWidth="1"/>
    <col min="9199" max="9199" width="5.453125" style="53" customWidth="1"/>
    <col min="9200" max="9444" width="11.453125" style="53"/>
    <col min="9445" max="9445" width="8.54296875" style="53" customWidth="1"/>
    <col min="9446" max="9446" width="13.453125" style="53" customWidth="1"/>
    <col min="9447" max="9447" width="12.453125" style="53" customWidth="1"/>
    <col min="9448" max="9448" width="13.54296875" style="53" customWidth="1"/>
    <col min="9449" max="9452" width="11.54296875" style="53" customWidth="1"/>
    <col min="9453" max="9453" width="12.81640625" style="53" customWidth="1"/>
    <col min="9454" max="9454" width="11.54296875" style="53" customWidth="1"/>
    <col min="9455" max="9455" width="5.453125" style="53" customWidth="1"/>
    <col min="9456" max="9700" width="11.453125" style="53"/>
    <col min="9701" max="9701" width="8.54296875" style="53" customWidth="1"/>
    <col min="9702" max="9702" width="13.453125" style="53" customWidth="1"/>
    <col min="9703" max="9703" width="12.453125" style="53" customWidth="1"/>
    <col min="9704" max="9704" width="13.54296875" style="53" customWidth="1"/>
    <col min="9705" max="9708" width="11.54296875" style="53" customWidth="1"/>
    <col min="9709" max="9709" width="12.81640625" style="53" customWidth="1"/>
    <col min="9710" max="9710" width="11.54296875" style="53" customWidth="1"/>
    <col min="9711" max="9711" width="5.453125" style="53" customWidth="1"/>
    <col min="9712" max="9956" width="11.453125" style="53"/>
    <col min="9957" max="9957" width="8.54296875" style="53" customWidth="1"/>
    <col min="9958" max="9958" width="13.453125" style="53" customWidth="1"/>
    <col min="9959" max="9959" width="12.453125" style="53" customWidth="1"/>
    <col min="9960" max="9960" width="13.54296875" style="53" customWidth="1"/>
    <col min="9961" max="9964" width="11.54296875" style="53" customWidth="1"/>
    <col min="9965" max="9965" width="12.81640625" style="53" customWidth="1"/>
    <col min="9966" max="9966" width="11.54296875" style="53" customWidth="1"/>
    <col min="9967" max="9967" width="5.453125" style="53" customWidth="1"/>
    <col min="9968" max="10212" width="11.453125" style="53"/>
    <col min="10213" max="10213" width="8.54296875" style="53" customWidth="1"/>
    <col min="10214" max="10214" width="13.453125" style="53" customWidth="1"/>
    <col min="10215" max="10215" width="12.453125" style="53" customWidth="1"/>
    <col min="10216" max="10216" width="13.54296875" style="53" customWidth="1"/>
    <col min="10217" max="10220" width="11.54296875" style="53" customWidth="1"/>
    <col min="10221" max="10221" width="12.81640625" style="53" customWidth="1"/>
    <col min="10222" max="10222" width="11.54296875" style="53" customWidth="1"/>
    <col min="10223" max="10223" width="5.453125" style="53" customWidth="1"/>
    <col min="10224" max="10468" width="11.453125" style="53"/>
    <col min="10469" max="10469" width="8.54296875" style="53" customWidth="1"/>
    <col min="10470" max="10470" width="13.453125" style="53" customWidth="1"/>
    <col min="10471" max="10471" width="12.453125" style="53" customWidth="1"/>
    <col min="10472" max="10472" width="13.54296875" style="53" customWidth="1"/>
    <col min="10473" max="10476" width="11.54296875" style="53" customWidth="1"/>
    <col min="10477" max="10477" width="12.81640625" style="53" customWidth="1"/>
    <col min="10478" max="10478" width="11.54296875" style="53" customWidth="1"/>
    <col min="10479" max="10479" width="5.453125" style="53" customWidth="1"/>
    <col min="10480" max="10724" width="11.453125" style="53"/>
    <col min="10725" max="10725" width="8.54296875" style="53" customWidth="1"/>
    <col min="10726" max="10726" width="13.453125" style="53" customWidth="1"/>
    <col min="10727" max="10727" width="12.453125" style="53" customWidth="1"/>
    <col min="10728" max="10728" width="13.54296875" style="53" customWidth="1"/>
    <col min="10729" max="10732" width="11.54296875" style="53" customWidth="1"/>
    <col min="10733" max="10733" width="12.81640625" style="53" customWidth="1"/>
    <col min="10734" max="10734" width="11.54296875" style="53" customWidth="1"/>
    <col min="10735" max="10735" width="5.453125" style="53" customWidth="1"/>
    <col min="10736" max="10980" width="11.453125" style="53"/>
    <col min="10981" max="10981" width="8.54296875" style="53" customWidth="1"/>
    <col min="10982" max="10982" width="13.453125" style="53" customWidth="1"/>
    <col min="10983" max="10983" width="12.453125" style="53" customWidth="1"/>
    <col min="10984" max="10984" width="13.54296875" style="53" customWidth="1"/>
    <col min="10985" max="10988" width="11.54296875" style="53" customWidth="1"/>
    <col min="10989" max="10989" width="12.81640625" style="53" customWidth="1"/>
    <col min="10990" max="10990" width="11.54296875" style="53" customWidth="1"/>
    <col min="10991" max="10991" width="5.453125" style="53" customWidth="1"/>
    <col min="10992" max="11236" width="11.453125" style="53"/>
    <col min="11237" max="11237" width="8.54296875" style="53" customWidth="1"/>
    <col min="11238" max="11238" width="13.453125" style="53" customWidth="1"/>
    <col min="11239" max="11239" width="12.453125" style="53" customWidth="1"/>
    <col min="11240" max="11240" width="13.54296875" style="53" customWidth="1"/>
    <col min="11241" max="11244" width="11.54296875" style="53" customWidth="1"/>
    <col min="11245" max="11245" width="12.81640625" style="53" customWidth="1"/>
    <col min="11246" max="11246" width="11.54296875" style="53" customWidth="1"/>
    <col min="11247" max="11247" width="5.453125" style="53" customWidth="1"/>
    <col min="11248" max="11492" width="11.453125" style="53"/>
    <col min="11493" max="11493" width="8.54296875" style="53" customWidth="1"/>
    <col min="11494" max="11494" width="13.453125" style="53" customWidth="1"/>
    <col min="11495" max="11495" width="12.453125" style="53" customWidth="1"/>
    <col min="11496" max="11496" width="13.54296875" style="53" customWidth="1"/>
    <col min="11497" max="11500" width="11.54296875" style="53" customWidth="1"/>
    <col min="11501" max="11501" width="12.81640625" style="53" customWidth="1"/>
    <col min="11502" max="11502" width="11.54296875" style="53" customWidth="1"/>
    <col min="11503" max="11503" width="5.453125" style="53" customWidth="1"/>
    <col min="11504" max="11748" width="11.453125" style="53"/>
    <col min="11749" max="11749" width="8.54296875" style="53" customWidth="1"/>
    <col min="11750" max="11750" width="13.453125" style="53" customWidth="1"/>
    <col min="11751" max="11751" width="12.453125" style="53" customWidth="1"/>
    <col min="11752" max="11752" width="13.54296875" style="53" customWidth="1"/>
    <col min="11753" max="11756" width="11.54296875" style="53" customWidth="1"/>
    <col min="11757" max="11757" width="12.81640625" style="53" customWidth="1"/>
    <col min="11758" max="11758" width="11.54296875" style="53" customWidth="1"/>
    <col min="11759" max="11759" width="5.453125" style="53" customWidth="1"/>
    <col min="11760" max="12004" width="11.453125" style="53"/>
    <col min="12005" max="12005" width="8.54296875" style="53" customWidth="1"/>
    <col min="12006" max="12006" width="13.453125" style="53" customWidth="1"/>
    <col min="12007" max="12007" width="12.453125" style="53" customWidth="1"/>
    <col min="12008" max="12008" width="13.54296875" style="53" customWidth="1"/>
    <col min="12009" max="12012" width="11.54296875" style="53" customWidth="1"/>
    <col min="12013" max="12013" width="12.81640625" style="53" customWidth="1"/>
    <col min="12014" max="12014" width="11.54296875" style="53" customWidth="1"/>
    <col min="12015" max="12015" width="5.453125" style="53" customWidth="1"/>
    <col min="12016" max="12260" width="11.453125" style="53"/>
    <col min="12261" max="12261" width="8.54296875" style="53" customWidth="1"/>
    <col min="12262" max="12262" width="13.453125" style="53" customWidth="1"/>
    <col min="12263" max="12263" width="12.453125" style="53" customWidth="1"/>
    <col min="12264" max="12264" width="13.54296875" style="53" customWidth="1"/>
    <col min="12265" max="12268" width="11.54296875" style="53" customWidth="1"/>
    <col min="12269" max="12269" width="12.81640625" style="53" customWidth="1"/>
    <col min="12270" max="12270" width="11.54296875" style="53" customWidth="1"/>
    <col min="12271" max="12271" width="5.453125" style="53" customWidth="1"/>
    <col min="12272" max="12516" width="11.453125" style="53"/>
    <col min="12517" max="12517" width="8.54296875" style="53" customWidth="1"/>
    <col min="12518" max="12518" width="13.453125" style="53" customWidth="1"/>
    <col min="12519" max="12519" width="12.453125" style="53" customWidth="1"/>
    <col min="12520" max="12520" width="13.54296875" style="53" customWidth="1"/>
    <col min="12521" max="12524" width="11.54296875" style="53" customWidth="1"/>
    <col min="12525" max="12525" width="12.81640625" style="53" customWidth="1"/>
    <col min="12526" max="12526" width="11.54296875" style="53" customWidth="1"/>
    <col min="12527" max="12527" width="5.453125" style="53" customWidth="1"/>
    <col min="12528" max="12772" width="11.453125" style="53"/>
    <col min="12773" max="12773" width="8.54296875" style="53" customWidth="1"/>
    <col min="12774" max="12774" width="13.453125" style="53" customWidth="1"/>
    <col min="12775" max="12775" width="12.453125" style="53" customWidth="1"/>
    <col min="12776" max="12776" width="13.54296875" style="53" customWidth="1"/>
    <col min="12777" max="12780" width="11.54296875" style="53" customWidth="1"/>
    <col min="12781" max="12781" width="12.81640625" style="53" customWidth="1"/>
    <col min="12782" max="12782" width="11.54296875" style="53" customWidth="1"/>
    <col min="12783" max="12783" width="5.453125" style="53" customWidth="1"/>
    <col min="12784" max="13028" width="11.453125" style="53"/>
    <col min="13029" max="13029" width="8.54296875" style="53" customWidth="1"/>
    <col min="13030" max="13030" width="13.453125" style="53" customWidth="1"/>
    <col min="13031" max="13031" width="12.453125" style="53" customWidth="1"/>
    <col min="13032" max="13032" width="13.54296875" style="53" customWidth="1"/>
    <col min="13033" max="13036" width="11.54296875" style="53" customWidth="1"/>
    <col min="13037" max="13037" width="12.81640625" style="53" customWidth="1"/>
    <col min="13038" max="13038" width="11.54296875" style="53" customWidth="1"/>
    <col min="13039" max="13039" width="5.453125" style="53" customWidth="1"/>
    <col min="13040" max="13284" width="11.453125" style="53"/>
    <col min="13285" max="13285" width="8.54296875" style="53" customWidth="1"/>
    <col min="13286" max="13286" width="13.453125" style="53" customWidth="1"/>
    <col min="13287" max="13287" width="12.453125" style="53" customWidth="1"/>
    <col min="13288" max="13288" width="13.54296875" style="53" customWidth="1"/>
    <col min="13289" max="13292" width="11.54296875" style="53" customWidth="1"/>
    <col min="13293" max="13293" width="12.81640625" style="53" customWidth="1"/>
    <col min="13294" max="13294" width="11.54296875" style="53" customWidth="1"/>
    <col min="13295" max="13295" width="5.453125" style="53" customWidth="1"/>
    <col min="13296" max="13540" width="11.453125" style="53"/>
    <col min="13541" max="13541" width="8.54296875" style="53" customWidth="1"/>
    <col min="13542" max="13542" width="13.453125" style="53" customWidth="1"/>
    <col min="13543" max="13543" width="12.453125" style="53" customWidth="1"/>
    <col min="13544" max="13544" width="13.54296875" style="53" customWidth="1"/>
    <col min="13545" max="13548" width="11.54296875" style="53" customWidth="1"/>
    <col min="13549" max="13549" width="12.81640625" style="53" customWidth="1"/>
    <col min="13550" max="13550" width="11.54296875" style="53" customWidth="1"/>
    <col min="13551" max="13551" width="5.453125" style="53" customWidth="1"/>
    <col min="13552" max="13796" width="11.453125" style="53"/>
    <col min="13797" max="13797" width="8.54296875" style="53" customWidth="1"/>
    <col min="13798" max="13798" width="13.453125" style="53" customWidth="1"/>
    <col min="13799" max="13799" width="12.453125" style="53" customWidth="1"/>
    <col min="13800" max="13800" width="13.54296875" style="53" customWidth="1"/>
    <col min="13801" max="13804" width="11.54296875" style="53" customWidth="1"/>
    <col min="13805" max="13805" width="12.81640625" style="53" customWidth="1"/>
    <col min="13806" max="13806" width="11.54296875" style="53" customWidth="1"/>
    <col min="13807" max="13807" width="5.453125" style="53" customWidth="1"/>
    <col min="13808" max="14052" width="11.453125" style="53"/>
    <col min="14053" max="14053" width="8.54296875" style="53" customWidth="1"/>
    <col min="14054" max="14054" width="13.453125" style="53" customWidth="1"/>
    <col min="14055" max="14055" width="12.453125" style="53" customWidth="1"/>
    <col min="14056" max="14056" width="13.54296875" style="53" customWidth="1"/>
    <col min="14057" max="14060" width="11.54296875" style="53" customWidth="1"/>
    <col min="14061" max="14061" width="12.81640625" style="53" customWidth="1"/>
    <col min="14062" max="14062" width="11.54296875" style="53" customWidth="1"/>
    <col min="14063" max="14063" width="5.453125" style="53" customWidth="1"/>
    <col min="14064" max="14308" width="11.453125" style="53"/>
    <col min="14309" max="14309" width="8.54296875" style="53" customWidth="1"/>
    <col min="14310" max="14310" width="13.453125" style="53" customWidth="1"/>
    <col min="14311" max="14311" width="12.453125" style="53" customWidth="1"/>
    <col min="14312" max="14312" width="13.54296875" style="53" customWidth="1"/>
    <col min="14313" max="14316" width="11.54296875" style="53" customWidth="1"/>
    <col min="14317" max="14317" width="12.81640625" style="53" customWidth="1"/>
    <col min="14318" max="14318" width="11.54296875" style="53" customWidth="1"/>
    <col min="14319" max="14319" width="5.453125" style="53" customWidth="1"/>
    <col min="14320" max="14564" width="11.453125" style="53"/>
    <col min="14565" max="14565" width="8.54296875" style="53" customWidth="1"/>
    <col min="14566" max="14566" width="13.453125" style="53" customWidth="1"/>
    <col min="14567" max="14567" width="12.453125" style="53" customWidth="1"/>
    <col min="14568" max="14568" width="13.54296875" style="53" customWidth="1"/>
    <col min="14569" max="14572" width="11.54296875" style="53" customWidth="1"/>
    <col min="14573" max="14573" width="12.81640625" style="53" customWidth="1"/>
    <col min="14574" max="14574" width="11.54296875" style="53" customWidth="1"/>
    <col min="14575" max="14575" width="5.453125" style="53" customWidth="1"/>
    <col min="14576" max="14820" width="11.453125" style="53"/>
    <col min="14821" max="14821" width="8.54296875" style="53" customWidth="1"/>
    <col min="14822" max="14822" width="13.453125" style="53" customWidth="1"/>
    <col min="14823" max="14823" width="12.453125" style="53" customWidth="1"/>
    <col min="14824" max="14824" width="13.54296875" style="53" customWidth="1"/>
    <col min="14825" max="14828" width="11.54296875" style="53" customWidth="1"/>
    <col min="14829" max="14829" width="12.81640625" style="53" customWidth="1"/>
    <col min="14830" max="14830" width="11.54296875" style="53" customWidth="1"/>
    <col min="14831" max="14831" width="5.453125" style="53" customWidth="1"/>
    <col min="14832" max="15076" width="11.453125" style="53"/>
    <col min="15077" max="15077" width="8.54296875" style="53" customWidth="1"/>
    <col min="15078" max="15078" width="13.453125" style="53" customWidth="1"/>
    <col min="15079" max="15079" width="12.453125" style="53" customWidth="1"/>
    <col min="15080" max="15080" width="13.54296875" style="53" customWidth="1"/>
    <col min="15081" max="15084" width="11.54296875" style="53" customWidth="1"/>
    <col min="15085" max="15085" width="12.81640625" style="53" customWidth="1"/>
    <col min="15086" max="15086" width="11.54296875" style="53" customWidth="1"/>
    <col min="15087" max="15087" width="5.453125" style="53" customWidth="1"/>
    <col min="15088" max="15332" width="11.453125" style="53"/>
    <col min="15333" max="15333" width="8.54296875" style="53" customWidth="1"/>
    <col min="15334" max="15334" width="13.453125" style="53" customWidth="1"/>
    <col min="15335" max="15335" width="12.453125" style="53" customWidth="1"/>
    <col min="15336" max="15336" width="13.54296875" style="53" customWidth="1"/>
    <col min="15337" max="15340" width="11.54296875" style="53" customWidth="1"/>
    <col min="15341" max="15341" width="12.81640625" style="53" customWidth="1"/>
    <col min="15342" max="15342" width="11.54296875" style="53" customWidth="1"/>
    <col min="15343" max="15343" width="5.453125" style="53" customWidth="1"/>
    <col min="15344" max="15588" width="11.453125" style="53"/>
    <col min="15589" max="15589" width="8.54296875" style="53" customWidth="1"/>
    <col min="15590" max="15590" width="13.453125" style="53" customWidth="1"/>
    <col min="15591" max="15591" width="12.453125" style="53" customWidth="1"/>
    <col min="15592" max="15592" width="13.54296875" style="53" customWidth="1"/>
    <col min="15593" max="15596" width="11.54296875" style="53" customWidth="1"/>
    <col min="15597" max="15597" width="12.81640625" style="53" customWidth="1"/>
    <col min="15598" max="15598" width="11.54296875" style="53" customWidth="1"/>
    <col min="15599" max="15599" width="5.453125" style="53" customWidth="1"/>
    <col min="15600" max="15844" width="11.453125" style="53"/>
    <col min="15845" max="15845" width="8.54296875" style="53" customWidth="1"/>
    <col min="15846" max="15846" width="13.453125" style="53" customWidth="1"/>
    <col min="15847" max="15847" width="12.453125" style="53" customWidth="1"/>
    <col min="15848" max="15848" width="13.54296875" style="53" customWidth="1"/>
    <col min="15849" max="15852" width="11.54296875" style="53" customWidth="1"/>
    <col min="15853" max="15853" width="12.81640625" style="53" customWidth="1"/>
    <col min="15854" max="15854" width="11.54296875" style="53" customWidth="1"/>
    <col min="15855" max="15855" width="5.453125" style="53" customWidth="1"/>
    <col min="15856" max="16100" width="11.453125" style="53"/>
    <col min="16101" max="16101" width="8.54296875" style="53" customWidth="1"/>
    <col min="16102" max="16102" width="13.453125" style="53" customWidth="1"/>
    <col min="16103" max="16103" width="12.453125" style="53" customWidth="1"/>
    <col min="16104" max="16104" width="13.54296875" style="53" customWidth="1"/>
    <col min="16105" max="16108" width="11.54296875" style="53" customWidth="1"/>
    <col min="16109" max="16109" width="12.81640625" style="53" customWidth="1"/>
    <col min="16110" max="16110" width="11.54296875" style="53" customWidth="1"/>
    <col min="16111" max="16111" width="5.453125" style="53" customWidth="1"/>
    <col min="16112" max="16384" width="11.453125" style="53"/>
  </cols>
  <sheetData>
    <row r="1" spans="2:23" s="47" customFormat="1" ht="18.5" x14ac:dyDescent="0.45">
      <c r="B1" s="45"/>
      <c r="C1" s="46"/>
      <c r="D1" s="46"/>
      <c r="E1" s="46"/>
      <c r="F1" s="46"/>
      <c r="G1" s="46"/>
      <c r="H1" s="5"/>
      <c r="I1" s="5"/>
      <c r="J1" s="5" t="s">
        <v>54</v>
      </c>
      <c r="K1" s="48" t="s">
        <v>2</v>
      </c>
      <c r="N1" s="45"/>
      <c r="O1" s="46"/>
      <c r="P1" s="46"/>
      <c r="Q1" s="46"/>
      <c r="R1" s="46"/>
      <c r="S1" s="46"/>
      <c r="T1" s="5"/>
      <c r="U1" s="5"/>
      <c r="V1" s="5" t="s">
        <v>54</v>
      </c>
      <c r="W1" s="48" t="s">
        <v>2</v>
      </c>
    </row>
    <row r="2" spans="2:23" s="47" customFormat="1" ht="18.5" x14ac:dyDescent="0.45">
      <c r="B2" s="1" t="s">
        <v>20</v>
      </c>
      <c r="C2" s="46"/>
      <c r="D2" s="46"/>
      <c r="E2" s="46"/>
      <c r="F2" s="46"/>
      <c r="G2" s="46"/>
      <c r="H2" s="5"/>
      <c r="I2" s="5"/>
      <c r="J2" s="5" t="s">
        <v>55</v>
      </c>
      <c r="K2" s="49">
        <v>1</v>
      </c>
      <c r="N2" s="1" t="s">
        <v>20</v>
      </c>
      <c r="O2" s="46"/>
      <c r="P2" s="46"/>
      <c r="Q2" s="46"/>
      <c r="R2" s="46"/>
      <c r="S2" s="46"/>
      <c r="T2" s="5"/>
      <c r="U2" s="5"/>
      <c r="V2" s="5" t="s">
        <v>55</v>
      </c>
      <c r="W2" s="49">
        <v>2</v>
      </c>
    </row>
    <row r="3" spans="2:23" s="47" customFormat="1" ht="18.5" x14ac:dyDescent="0.45">
      <c r="B3" s="124" t="s">
        <v>126</v>
      </c>
      <c r="C3" s="120"/>
      <c r="D3" s="46"/>
      <c r="E3" s="46"/>
      <c r="F3" s="46"/>
      <c r="G3" s="46"/>
      <c r="H3" s="46"/>
      <c r="I3" s="46"/>
      <c r="J3" s="46"/>
      <c r="K3" s="50"/>
      <c r="N3" s="1" t="s">
        <v>56</v>
      </c>
      <c r="O3" s="46"/>
      <c r="P3" s="46"/>
      <c r="Q3" s="46"/>
      <c r="R3" s="46"/>
      <c r="S3" s="46"/>
      <c r="T3" s="46"/>
      <c r="U3" s="46"/>
      <c r="V3" s="46"/>
      <c r="W3" s="50"/>
    </row>
    <row r="4" spans="2:23" s="47" customFormat="1" ht="18.5" x14ac:dyDescent="0.45">
      <c r="B4" s="124" t="s">
        <v>107</v>
      </c>
      <c r="C4" s="120"/>
      <c r="D4" s="46"/>
      <c r="E4" s="46"/>
      <c r="F4" s="46"/>
      <c r="G4" s="46"/>
      <c r="H4" s="46"/>
      <c r="I4" s="46"/>
      <c r="J4" s="46"/>
      <c r="K4" s="50"/>
      <c r="N4" s="124" t="s">
        <v>107</v>
      </c>
      <c r="O4" s="120"/>
      <c r="P4" s="46"/>
      <c r="Q4" s="46"/>
      <c r="R4" s="46"/>
      <c r="S4" s="46"/>
      <c r="T4" s="46"/>
      <c r="U4" s="46"/>
      <c r="V4" s="46"/>
      <c r="W4" s="50"/>
    </row>
    <row r="5" spans="2:23" s="47" customFormat="1" ht="18.5" x14ac:dyDescent="0.45">
      <c r="B5" s="1" t="s">
        <v>26</v>
      </c>
      <c r="C5" s="46"/>
      <c r="D5" s="46"/>
      <c r="E5" s="46"/>
      <c r="F5" s="46"/>
      <c r="G5" s="46"/>
      <c r="H5" s="46"/>
      <c r="I5" s="46"/>
      <c r="J5" s="46"/>
      <c r="N5" s="1" t="s">
        <v>26</v>
      </c>
      <c r="O5" s="46"/>
      <c r="P5" s="46"/>
      <c r="Q5" s="46"/>
      <c r="R5" s="46"/>
      <c r="S5" s="46"/>
      <c r="T5" s="46"/>
      <c r="U5" s="46"/>
      <c r="V5" s="46"/>
    </row>
    <row r="6" spans="2:23" x14ac:dyDescent="0.35">
      <c r="B6" s="54"/>
      <c r="N6" s="54"/>
    </row>
    <row r="7" spans="2:23" x14ac:dyDescent="0.35">
      <c r="B7" s="31"/>
      <c r="N7" s="31"/>
    </row>
    <row r="10" spans="2:23" x14ac:dyDescent="0.35">
      <c r="B10" s="55" t="s">
        <v>3</v>
      </c>
      <c r="C10" s="56">
        <v>-2</v>
      </c>
      <c r="D10" s="56">
        <v>-3</v>
      </c>
      <c r="E10" s="56">
        <v>-4</v>
      </c>
      <c r="F10" s="56">
        <v>-5</v>
      </c>
      <c r="G10" s="56">
        <v>-6</v>
      </c>
      <c r="H10" s="56">
        <v>-7</v>
      </c>
      <c r="I10" s="56">
        <v>-8</v>
      </c>
      <c r="J10" s="56">
        <v>-9</v>
      </c>
      <c r="N10" s="55" t="s">
        <v>3</v>
      </c>
      <c r="O10" s="56">
        <v>-2</v>
      </c>
      <c r="P10" s="56">
        <v>-3</v>
      </c>
      <c r="Q10" s="56">
        <v>-4</v>
      </c>
      <c r="R10" s="56">
        <v>-5</v>
      </c>
      <c r="S10" s="56">
        <v>-6</v>
      </c>
      <c r="T10" s="56">
        <v>-7</v>
      </c>
      <c r="U10" s="56"/>
      <c r="V10" s="56"/>
    </row>
    <row r="11" spans="2:23" s="19" customFormat="1" ht="87" customHeight="1" x14ac:dyDescent="0.35">
      <c r="B11" s="16" t="s">
        <v>57</v>
      </c>
      <c r="C11" s="107" t="s">
        <v>134</v>
      </c>
      <c r="D11" s="107" t="s">
        <v>135</v>
      </c>
      <c r="E11" s="107" t="s">
        <v>129</v>
      </c>
      <c r="F11" s="16" t="s">
        <v>58</v>
      </c>
      <c r="G11" s="134" t="s">
        <v>130</v>
      </c>
      <c r="H11" s="107" t="s">
        <v>133</v>
      </c>
      <c r="I11" s="134" t="s">
        <v>131</v>
      </c>
      <c r="J11" s="107" t="s">
        <v>132</v>
      </c>
      <c r="N11" s="16" t="s">
        <v>57</v>
      </c>
      <c r="O11" s="16" t="s">
        <v>59</v>
      </c>
      <c r="P11" s="107" t="s">
        <v>85</v>
      </c>
      <c r="Q11" s="107" t="s">
        <v>128</v>
      </c>
      <c r="R11" s="107" t="s">
        <v>58</v>
      </c>
      <c r="S11" s="134" t="s">
        <v>86</v>
      </c>
      <c r="T11" s="134" t="s">
        <v>87</v>
      </c>
      <c r="U11" s="57"/>
      <c r="V11" s="16"/>
    </row>
    <row r="12" spans="2:23" s="19" customFormat="1" x14ac:dyDescent="0.35">
      <c r="G12" s="58"/>
      <c r="J12" s="58"/>
      <c r="S12" s="58"/>
      <c r="V12" s="58"/>
    </row>
    <row r="13" spans="2:23" s="19" customFormat="1" x14ac:dyDescent="0.35">
      <c r="B13" s="59" t="s">
        <v>60</v>
      </c>
      <c r="G13" s="58"/>
      <c r="J13" s="58"/>
      <c r="N13" s="59" t="s">
        <v>60</v>
      </c>
      <c r="S13" s="58"/>
      <c r="V13" s="58"/>
    </row>
    <row r="14" spans="2:23" s="19" customFormat="1" x14ac:dyDescent="0.35">
      <c r="G14" s="58"/>
      <c r="J14" s="58"/>
      <c r="S14" s="58"/>
      <c r="V14" s="58"/>
    </row>
    <row r="15" spans="2:23" x14ac:dyDescent="0.35">
      <c r="B15" s="60">
        <v>12</v>
      </c>
      <c r="C15" s="67">
        <v>0.25</v>
      </c>
      <c r="D15" s="62">
        <f>C15</f>
        <v>0.25</v>
      </c>
      <c r="E15" s="61">
        <v>0.5</v>
      </c>
      <c r="F15" s="142">
        <v>1.95E-2</v>
      </c>
      <c r="G15" s="77">
        <f>ROUND(Parallélogramme!$R$22,2)</f>
        <v>0.33</v>
      </c>
      <c r="H15" s="74">
        <f t="shared" ref="H15:H22" si="0">D15*(1+F15)^-(E15-(0.5-G15))</f>
        <v>0.24841180056259193</v>
      </c>
      <c r="I15" s="77">
        <f>ROUND(Parallélogramme!$S$22,2)</f>
        <v>0.57999999999999996</v>
      </c>
      <c r="J15" s="74">
        <f t="shared" ref="J15:J22" si="1">D15*(1+F15)^-(E15-(0.5-I15))</f>
        <v>0.24721533970064352</v>
      </c>
      <c r="K15" s="112"/>
      <c r="N15" s="60">
        <v>1</v>
      </c>
      <c r="O15" s="91">
        <f>1/24</f>
        <v>4.1666666666666664E-2</v>
      </c>
      <c r="P15" s="81">
        <f>Parallélogramme!R7/Parallélogramme!$R$21</f>
        <v>0.15972222222222221</v>
      </c>
      <c r="Q15" s="81">
        <f>Parallélogramme!S7/Parallélogramme!$S$21</f>
        <v>2.0833333333333332E-2</v>
      </c>
      <c r="R15" s="148">
        <v>1.9099999999999999E-2</v>
      </c>
      <c r="S15" s="89">
        <f>P15*(1+$R15)^-$O15</f>
        <v>0.15959635825428464</v>
      </c>
      <c r="T15" s="89">
        <f t="shared" ref="T15:T28" si="2">Q15*(1+$R15)^-$O15</f>
        <v>2.0816916294037126E-2</v>
      </c>
      <c r="U15" s="77"/>
      <c r="V15" s="74"/>
    </row>
    <row r="16" spans="2:23" x14ac:dyDescent="0.35">
      <c r="B16" s="60">
        <f t="shared" ref="B16:B22" si="3">B15+12</f>
        <v>24</v>
      </c>
      <c r="C16" s="67">
        <v>0.5</v>
      </c>
      <c r="D16" s="62">
        <f t="shared" ref="D16:D22" si="4">C16-C15</f>
        <v>0.25</v>
      </c>
      <c r="E16" s="61">
        <f t="shared" ref="E16:E22" si="5">E15+1</f>
        <v>1.5</v>
      </c>
      <c r="F16" s="150">
        <v>2.0400000000000001E-2</v>
      </c>
      <c r="G16" s="77">
        <f>ROUND(Parallélogramme!$R$22,2)</f>
        <v>0.33</v>
      </c>
      <c r="H16" s="74">
        <f t="shared" si="0"/>
        <v>0.24337463335100579</v>
      </c>
      <c r="I16" s="77">
        <f>ROUND(Parallélogramme!$S$22,2)</f>
        <v>0.57999999999999996</v>
      </c>
      <c r="J16" s="74">
        <f t="shared" si="1"/>
        <v>0.24214900997220598</v>
      </c>
      <c r="K16" s="112"/>
      <c r="N16" s="60">
        <f>N15+1</f>
        <v>2</v>
      </c>
      <c r="O16" s="91">
        <f>O15+1/12</f>
        <v>0.125</v>
      </c>
      <c r="P16" s="81">
        <f>Parallélogramme!R8/Parallélogramme!$R$21</f>
        <v>0.14583333333333334</v>
      </c>
      <c r="Q16" s="81">
        <f>Parallélogramme!S8/Parallélogramme!$S$21</f>
        <v>6.25E-2</v>
      </c>
      <c r="R16" s="148">
        <v>1.9199999999999998E-2</v>
      </c>
      <c r="S16" s="89">
        <f t="shared" ref="S16:S28" si="6">P16*(1+$R16)^-$O16</f>
        <v>0.14548706268443581</v>
      </c>
      <c r="T16" s="89">
        <f t="shared" si="2"/>
        <v>6.2351598293329626E-2</v>
      </c>
      <c r="U16" s="77"/>
      <c r="V16" s="74"/>
    </row>
    <row r="17" spans="2:24" x14ac:dyDescent="0.35">
      <c r="B17" s="60">
        <f t="shared" si="3"/>
        <v>36</v>
      </c>
      <c r="C17" s="67">
        <v>0.75</v>
      </c>
      <c r="D17" s="62">
        <f t="shared" si="4"/>
        <v>0.25</v>
      </c>
      <c r="E17" s="61">
        <f t="shared" si="5"/>
        <v>2.5</v>
      </c>
      <c r="F17" s="150">
        <v>2.1499999999999998E-2</v>
      </c>
      <c r="G17" s="77">
        <f>ROUND(Parallélogramme!$R$22,2)</f>
        <v>0.33</v>
      </c>
      <c r="H17" s="74">
        <f t="shared" si="0"/>
        <v>0.23791104484983822</v>
      </c>
      <c r="I17" s="77">
        <f>ROUND(Parallélogramme!$S$22,2)</f>
        <v>0.57999999999999996</v>
      </c>
      <c r="J17" s="74">
        <f t="shared" si="1"/>
        <v>0.23664918415031758</v>
      </c>
      <c r="K17" s="112"/>
      <c r="N17" s="60">
        <f t="shared" ref="N17:N28" si="7">N16+1</f>
        <v>3</v>
      </c>
      <c r="O17" s="91">
        <f t="shared" ref="O17:O26" si="8">O16+1/12</f>
        <v>0.20833333333333331</v>
      </c>
      <c r="P17" s="81">
        <f>Parallélogramme!R9/Parallélogramme!$R$21</f>
        <v>0.13194444444444445</v>
      </c>
      <c r="Q17" s="81">
        <f>Parallélogramme!S9/Parallélogramme!$S$21</f>
        <v>8.3333333333333329E-2</v>
      </c>
      <c r="R17" s="148">
        <v>1.9300000000000001E-2</v>
      </c>
      <c r="S17" s="89">
        <f t="shared" si="6"/>
        <v>0.13142001743783277</v>
      </c>
      <c r="T17" s="89">
        <f t="shared" si="2"/>
        <v>8.3002116276525956E-2</v>
      </c>
      <c r="U17" s="77"/>
      <c r="V17" s="74"/>
    </row>
    <row r="18" spans="2:24" x14ac:dyDescent="0.35">
      <c r="B18" s="64">
        <f t="shared" si="3"/>
        <v>48</v>
      </c>
      <c r="C18" s="67">
        <v>0.9</v>
      </c>
      <c r="D18" s="62">
        <f t="shared" si="4"/>
        <v>0.15000000000000002</v>
      </c>
      <c r="E18" s="65">
        <f t="shared" si="5"/>
        <v>3.5</v>
      </c>
      <c r="F18" s="150">
        <v>2.2700000000000001E-2</v>
      </c>
      <c r="G18" s="77">
        <f>ROUND(Parallélogramme!$R$22,2)</f>
        <v>0.33</v>
      </c>
      <c r="H18" s="74">
        <f t="shared" si="0"/>
        <v>0.13919690107954544</v>
      </c>
      <c r="I18" s="77">
        <f>ROUND(Parallélogramme!$S$22,2)</f>
        <v>0.57999999999999996</v>
      </c>
      <c r="J18" s="74">
        <f t="shared" si="1"/>
        <v>0.1384179786220627</v>
      </c>
      <c r="K18" s="112"/>
      <c r="N18" s="60">
        <f t="shared" si="7"/>
        <v>4</v>
      </c>
      <c r="O18" s="91">
        <f t="shared" si="8"/>
        <v>0.29166666666666663</v>
      </c>
      <c r="P18" s="81">
        <f>Parallélogramme!R10/Parallélogramme!$R$21</f>
        <v>0.11805555555555555</v>
      </c>
      <c r="Q18" s="44">
        <f>Parallélogramme!S10/Parallélogramme!$S$21</f>
        <v>8.3333333333333329E-2</v>
      </c>
      <c r="R18" s="148">
        <v>1.9400000000000001E-2</v>
      </c>
      <c r="S18" s="89">
        <f t="shared" si="6"/>
        <v>0.11739580524171792</v>
      </c>
      <c r="T18" s="89">
        <f t="shared" si="2"/>
        <v>8.2867627229447932E-2</v>
      </c>
      <c r="U18" s="77"/>
      <c r="V18" s="74"/>
    </row>
    <row r="19" spans="2:24" x14ac:dyDescent="0.35">
      <c r="B19" s="64">
        <f t="shared" si="3"/>
        <v>60</v>
      </c>
      <c r="C19" s="68">
        <v>1</v>
      </c>
      <c r="D19" s="62">
        <f t="shared" si="4"/>
        <v>9.9999999999999978E-2</v>
      </c>
      <c r="E19" s="64">
        <f t="shared" si="5"/>
        <v>4.5</v>
      </c>
      <c r="F19" s="150">
        <v>2.3300000000000001E-2</v>
      </c>
      <c r="G19" s="77">
        <f>ROUND(Parallélogramme!$R$22,2)</f>
        <v>0.33</v>
      </c>
      <c r="H19" s="74">
        <f t="shared" si="0"/>
        <v>9.0508032062485463E-2</v>
      </c>
      <c r="I19" s="77">
        <f>ROUND(Parallélogramme!$S$22,2)</f>
        <v>0.57999999999999996</v>
      </c>
      <c r="J19" s="74">
        <f t="shared" si="1"/>
        <v>8.9988368587500756E-2</v>
      </c>
      <c r="K19" s="112"/>
      <c r="N19" s="60">
        <f t="shared" si="7"/>
        <v>5</v>
      </c>
      <c r="O19" s="91">
        <f t="shared" si="8"/>
        <v>0.37499999999999994</v>
      </c>
      <c r="P19" s="81">
        <f>Parallélogramme!R11/Parallélogramme!$R$21</f>
        <v>0.10416666666666667</v>
      </c>
      <c r="Q19" s="44">
        <f>Parallélogramme!S11/Parallélogramme!$S$21</f>
        <v>8.3333333333333329E-2</v>
      </c>
      <c r="R19" s="148">
        <v>1.9400000000000001E-2</v>
      </c>
      <c r="S19" s="89">
        <f t="shared" si="6"/>
        <v>0.10341880875778311</v>
      </c>
      <c r="T19" s="89">
        <f t="shared" si="2"/>
        <v>8.2735047006226484E-2</v>
      </c>
      <c r="U19" s="77"/>
      <c r="V19" s="74"/>
    </row>
    <row r="20" spans="2:24" x14ac:dyDescent="0.35">
      <c r="B20" s="64">
        <f t="shared" si="3"/>
        <v>72</v>
      </c>
      <c r="C20" s="68">
        <v>1</v>
      </c>
      <c r="D20" s="62">
        <f t="shared" si="4"/>
        <v>0</v>
      </c>
      <c r="E20" s="64">
        <f t="shared" si="5"/>
        <v>5.5</v>
      </c>
      <c r="F20" s="150">
        <v>2.46E-2</v>
      </c>
      <c r="G20" s="77">
        <f>ROUND(Parallélogramme!$R$22,2)</f>
        <v>0.33</v>
      </c>
      <c r="H20" s="74">
        <f t="shared" si="0"/>
        <v>0</v>
      </c>
      <c r="I20" s="77">
        <f>ROUND(Parallélogramme!$S$22,2)</f>
        <v>0.57999999999999996</v>
      </c>
      <c r="J20" s="74">
        <f t="shared" si="1"/>
        <v>0</v>
      </c>
      <c r="K20" s="112"/>
      <c r="N20" s="60">
        <f t="shared" si="7"/>
        <v>6</v>
      </c>
      <c r="O20" s="91">
        <f t="shared" si="8"/>
        <v>0.45833333333333326</v>
      </c>
      <c r="P20" s="81">
        <f>Parallélogramme!R12/Parallélogramme!$R$21</f>
        <v>9.0277777777777776E-2</v>
      </c>
      <c r="Q20" s="44">
        <f>Parallélogramme!S12/Parallélogramme!$S$21</f>
        <v>8.3333333333333329E-2</v>
      </c>
      <c r="R20" s="148">
        <v>1.95E-2</v>
      </c>
      <c r="S20" s="89">
        <f t="shared" si="6"/>
        <v>8.9482212362716043E-2</v>
      </c>
      <c r="T20" s="89">
        <f t="shared" si="2"/>
        <v>8.2598965257891732E-2</v>
      </c>
      <c r="U20" s="77"/>
      <c r="V20" s="74"/>
    </row>
    <row r="21" spans="2:24" x14ac:dyDescent="0.35">
      <c r="B21" s="64">
        <f t="shared" si="3"/>
        <v>84</v>
      </c>
      <c r="C21" s="68">
        <v>1</v>
      </c>
      <c r="D21" s="62">
        <f t="shared" si="4"/>
        <v>0</v>
      </c>
      <c r="E21" s="64">
        <f t="shared" si="5"/>
        <v>6.5</v>
      </c>
      <c r="F21" s="150">
        <v>2.5499999999999998E-2</v>
      </c>
      <c r="G21" s="77">
        <f>ROUND(Parallélogramme!$R$22,2)</f>
        <v>0.33</v>
      </c>
      <c r="H21" s="74">
        <f t="shared" si="0"/>
        <v>0</v>
      </c>
      <c r="I21" s="77">
        <f>ROUND(Parallélogramme!$S$22,2)</f>
        <v>0.57999999999999996</v>
      </c>
      <c r="J21" s="74">
        <f t="shared" si="1"/>
        <v>0</v>
      </c>
      <c r="K21" s="112"/>
      <c r="N21" s="60">
        <f t="shared" si="7"/>
        <v>7</v>
      </c>
      <c r="O21" s="91">
        <f t="shared" si="8"/>
        <v>0.54166666666666663</v>
      </c>
      <c r="P21" s="81">
        <f>Parallélogramme!R13/Parallélogramme!$R$21</f>
        <v>7.6388888888888895E-2</v>
      </c>
      <c r="Q21" s="44">
        <f>Parallélogramme!S13/Parallélogramme!$S$21</f>
        <v>8.3333333333333329E-2</v>
      </c>
      <c r="R21" s="148">
        <v>1.9599999999999999E-2</v>
      </c>
      <c r="S21" s="89">
        <f t="shared" si="6"/>
        <v>7.558994631175675E-2</v>
      </c>
      <c r="T21" s="89">
        <f t="shared" si="2"/>
        <v>8.2461759612825536E-2</v>
      </c>
      <c r="U21" s="77"/>
      <c r="V21" s="74"/>
    </row>
    <row r="22" spans="2:24" x14ac:dyDescent="0.35">
      <c r="B22" s="70">
        <f t="shared" si="3"/>
        <v>96</v>
      </c>
      <c r="C22" s="71">
        <v>1</v>
      </c>
      <c r="D22" s="72">
        <f t="shared" si="4"/>
        <v>0</v>
      </c>
      <c r="E22" s="70">
        <f t="shared" si="5"/>
        <v>7.5</v>
      </c>
      <c r="F22" s="155">
        <v>2.6499999999999999E-2</v>
      </c>
      <c r="G22" s="78">
        <f>ROUND(Parallélogramme!$R$22,2)</f>
        <v>0.33</v>
      </c>
      <c r="H22" s="75">
        <f t="shared" si="0"/>
        <v>0</v>
      </c>
      <c r="I22" s="78">
        <f>ROUND(Parallélogramme!$S$22,2)</f>
        <v>0.57999999999999996</v>
      </c>
      <c r="J22" s="75">
        <f t="shared" si="1"/>
        <v>0</v>
      </c>
      <c r="K22" s="112"/>
      <c r="N22" s="60">
        <f t="shared" si="7"/>
        <v>8</v>
      </c>
      <c r="O22" s="91">
        <f t="shared" si="8"/>
        <v>0.625</v>
      </c>
      <c r="P22" s="81">
        <f>Parallélogramme!R14/Parallélogramme!$R$21</f>
        <v>6.25E-2</v>
      </c>
      <c r="Q22" s="44">
        <f>Parallélogramme!S14/Parallélogramme!$S$21</f>
        <v>8.3333333333333329E-2</v>
      </c>
      <c r="R22" s="148">
        <v>1.9599999999999999E-2</v>
      </c>
      <c r="S22" s="89">
        <f t="shared" si="6"/>
        <v>6.1746362123473716E-2</v>
      </c>
      <c r="T22" s="89">
        <f t="shared" si="2"/>
        <v>8.2328482831298289E-2</v>
      </c>
      <c r="U22" s="84"/>
      <c r="V22" s="85"/>
    </row>
    <row r="23" spans="2:24" x14ac:dyDescent="0.35">
      <c r="B23" s="79" t="s">
        <v>0</v>
      </c>
      <c r="C23" s="87">
        <f>C22</f>
        <v>1</v>
      </c>
      <c r="D23" s="88">
        <f>SUM(D15:D22)</f>
        <v>1</v>
      </c>
      <c r="E23" s="69"/>
      <c r="F23" s="53"/>
      <c r="G23" s="73"/>
      <c r="H23" s="76">
        <f>SUM(H15:H22)</f>
        <v>0.95940241190546682</v>
      </c>
      <c r="I23" s="73"/>
      <c r="J23" s="76">
        <f>SUM(J15:J22)</f>
        <v>0.95441988103273045</v>
      </c>
      <c r="N23" s="60">
        <f t="shared" si="7"/>
        <v>9</v>
      </c>
      <c r="O23" s="91">
        <f t="shared" si="8"/>
        <v>0.70833333333333337</v>
      </c>
      <c r="P23" s="81">
        <f>Parallélogramme!R15/Parallélogramme!$R$21</f>
        <v>4.8611111111111112E-2</v>
      </c>
      <c r="Q23" s="44">
        <f>Parallélogramme!S15/Parallélogramme!$S$21</f>
        <v>8.3333333333333329E-2</v>
      </c>
      <c r="R23" s="148">
        <v>1.9699999999999999E-2</v>
      </c>
      <c r="S23" s="89">
        <f t="shared" si="6"/>
        <v>4.7943998479249988E-2</v>
      </c>
      <c r="T23" s="89">
        <f t="shared" si="2"/>
        <v>8.2189711678714264E-2</v>
      </c>
      <c r="U23" s="73"/>
      <c r="V23" s="76"/>
    </row>
    <row r="24" spans="2:24" x14ac:dyDescent="0.35">
      <c r="F24" s="51"/>
      <c r="G24" s="63"/>
      <c r="H24" s="63"/>
      <c r="I24" s="66"/>
      <c r="J24" s="63"/>
      <c r="N24" s="60">
        <f t="shared" si="7"/>
        <v>10</v>
      </c>
      <c r="O24" s="91">
        <f t="shared" si="8"/>
        <v>0.79166666666666674</v>
      </c>
      <c r="P24" s="81">
        <f>Parallélogramme!R16/Parallélogramme!$R$21</f>
        <v>3.4722222222222224E-2</v>
      </c>
      <c r="Q24" s="44">
        <f>Parallélogramme!S16/Parallélogramme!$S$21</f>
        <v>8.3333333333333329E-2</v>
      </c>
      <c r="R24" s="148">
        <v>1.9800000000000002E-2</v>
      </c>
      <c r="S24" s="89">
        <f t="shared" si="6"/>
        <v>3.4187430794105023E-2</v>
      </c>
      <c r="T24" s="89">
        <f t="shared" si="2"/>
        <v>8.2049833905852049E-2</v>
      </c>
      <c r="U24" s="66"/>
      <c r="V24" s="63"/>
    </row>
    <row r="25" spans="2:24" x14ac:dyDescent="0.35">
      <c r="B25" s="104" t="s">
        <v>61</v>
      </c>
      <c r="D25"/>
      <c r="G25" s="63"/>
      <c r="J25" s="63"/>
      <c r="N25" s="60">
        <f t="shared" si="7"/>
        <v>11</v>
      </c>
      <c r="O25" s="91">
        <f t="shared" si="8"/>
        <v>0.87500000000000011</v>
      </c>
      <c r="P25" s="81">
        <f>Parallélogramme!R17/Parallélogramme!$R$21</f>
        <v>2.0833333333333332E-2</v>
      </c>
      <c r="Q25" s="44">
        <f>Parallélogramme!S17/Parallélogramme!$S$21</f>
        <v>8.3333333333333329E-2</v>
      </c>
      <c r="R25" s="148">
        <v>1.9900000000000001E-2</v>
      </c>
      <c r="S25" s="89">
        <f t="shared" si="6"/>
        <v>2.0477214039884832E-2</v>
      </c>
      <c r="T25" s="89">
        <f t="shared" si="2"/>
        <v>8.1908856159539328E-2</v>
      </c>
      <c r="V25" s="63"/>
    </row>
    <row r="26" spans="2:24" x14ac:dyDescent="0.35">
      <c r="B26" s="110" t="s">
        <v>88</v>
      </c>
      <c r="C26"/>
      <c r="D26"/>
      <c r="E26"/>
      <c r="F26"/>
      <c r="G26"/>
      <c r="H26" s="66"/>
      <c r="I26" s="66"/>
      <c r="J26" s="63"/>
      <c r="K26" s="31"/>
      <c r="N26" s="60">
        <f t="shared" si="7"/>
        <v>12</v>
      </c>
      <c r="O26" s="91">
        <f t="shared" si="8"/>
        <v>0.95833333333333348</v>
      </c>
      <c r="P26" s="81">
        <f>Parallélogramme!R18/Parallélogramme!$R$21</f>
        <v>6.9444444444444441E-3</v>
      </c>
      <c r="Q26" s="44">
        <f>Parallélogramme!S18/Parallélogramme!$S$21</f>
        <v>8.3333333333333329E-2</v>
      </c>
      <c r="R26" s="148">
        <v>1.9900000000000001E-2</v>
      </c>
      <c r="S26" s="89">
        <f t="shared" si="6"/>
        <v>6.8145390168685436E-3</v>
      </c>
      <c r="T26" s="89">
        <f t="shared" si="2"/>
        <v>8.1774468202422526E-2</v>
      </c>
      <c r="U26" s="66"/>
      <c r="V26" s="63"/>
      <c r="W26" s="31"/>
    </row>
    <row r="27" spans="2:24" x14ac:dyDescent="0.35">
      <c r="B27" s="111" t="s">
        <v>127</v>
      </c>
      <c r="C27" s="103"/>
      <c r="D27" s="103"/>
      <c r="E27" s="103"/>
      <c r="F27"/>
      <c r="G27"/>
      <c r="H27"/>
      <c r="I27"/>
      <c r="J27"/>
      <c r="K27"/>
      <c r="L27"/>
      <c r="N27" s="60">
        <f t="shared" si="7"/>
        <v>13</v>
      </c>
      <c r="O27" s="91">
        <f t="shared" ref="O27:O28" si="9">O26+1/12</f>
        <v>1.0416666666666667</v>
      </c>
      <c r="P27" s="81">
        <f>Parallélogramme!R19/Parallélogramme!$R$21</f>
        <v>0</v>
      </c>
      <c r="Q27" s="44">
        <f>Parallélogramme!S19/Parallélogramme!$S$21</f>
        <v>6.25E-2</v>
      </c>
      <c r="R27" s="148">
        <v>0.02</v>
      </c>
      <c r="S27" s="89">
        <f t="shared" si="6"/>
        <v>0</v>
      </c>
      <c r="T27" s="89">
        <f t="shared" si="2"/>
        <v>6.1223972477851787E-2</v>
      </c>
      <c r="U27"/>
      <c r="V27"/>
      <c r="W27"/>
      <c r="X27"/>
    </row>
    <row r="28" spans="2:24" x14ac:dyDescent="0.35">
      <c r="B28" s="109" t="s">
        <v>89</v>
      </c>
      <c r="C28"/>
      <c r="D28"/>
      <c r="E28"/>
      <c r="F28"/>
      <c r="G28"/>
      <c r="H28"/>
      <c r="I28"/>
      <c r="J28"/>
      <c r="K28"/>
      <c r="L28"/>
      <c r="N28" s="83">
        <f t="shared" si="7"/>
        <v>14</v>
      </c>
      <c r="O28" s="92">
        <f t="shared" si="9"/>
        <v>1.125</v>
      </c>
      <c r="P28" s="93">
        <f>Parallélogramme!R20/Parallélogramme!$R$21</f>
        <v>0</v>
      </c>
      <c r="Q28" s="94">
        <f>Parallélogramme!S20/Parallélogramme!$S$21</f>
        <v>2.0833333333333332E-2</v>
      </c>
      <c r="R28" s="166">
        <v>2.01E-2</v>
      </c>
      <c r="S28" s="90">
        <f t="shared" si="6"/>
        <v>0</v>
      </c>
      <c r="T28" s="90">
        <f t="shared" si="2"/>
        <v>2.0372094009505303E-2</v>
      </c>
      <c r="U28" s="3"/>
      <c r="V28" s="3"/>
      <c r="W28"/>
      <c r="X28"/>
    </row>
    <row r="29" spans="2:24" x14ac:dyDescent="0.35">
      <c r="B29" s="111" t="s">
        <v>102</v>
      </c>
      <c r="C29"/>
      <c r="D29"/>
      <c r="E29"/>
      <c r="F29"/>
      <c r="G29"/>
      <c r="H29"/>
      <c r="I29"/>
      <c r="J29"/>
      <c r="K29"/>
      <c r="L29"/>
      <c r="N29" s="79" t="s">
        <v>0</v>
      </c>
      <c r="O29" s="69"/>
      <c r="P29" s="86">
        <f>SUM(P15:P28)</f>
        <v>1</v>
      </c>
      <c r="Q29" s="86">
        <f>SUM(Q15:Q28)</f>
        <v>1</v>
      </c>
      <c r="R29" s="82"/>
      <c r="S29" s="76">
        <f t="shared" ref="S29:T29" si="10">SUM(S15:S28)</f>
        <v>0.99355975550410913</v>
      </c>
      <c r="T29" s="76">
        <f t="shared" si="10"/>
        <v>0.98868144923546808</v>
      </c>
      <c r="U29" s="73"/>
      <c r="V29" s="76"/>
      <c r="W29"/>
      <c r="X29"/>
    </row>
    <row r="30" spans="2:24" x14ac:dyDescent="0.35">
      <c r="B30" s="128" t="s">
        <v>94</v>
      </c>
      <c r="C30" s="103"/>
      <c r="D30" s="103"/>
      <c r="E30" s="103"/>
      <c r="F30" s="103"/>
      <c r="G30" s="103"/>
      <c r="H30" s="103"/>
      <c r="I30" s="103"/>
      <c r="J30"/>
      <c r="K30"/>
      <c r="L30"/>
      <c r="N30"/>
      <c r="O30"/>
      <c r="P30"/>
      <c r="Q30"/>
      <c r="R30"/>
      <c r="S30"/>
      <c r="T30"/>
      <c r="U30"/>
      <c r="V30"/>
      <c r="W30"/>
      <c r="X30"/>
    </row>
    <row r="31" spans="2:24" x14ac:dyDescent="0.35">
      <c r="B31" s="111" t="s">
        <v>15</v>
      </c>
      <c r="C31" s="103"/>
      <c r="D31" s="103"/>
      <c r="E31" s="103"/>
      <c r="F31" s="103"/>
      <c r="G31" s="103"/>
      <c r="H31" s="103"/>
      <c r="I31" s="103"/>
      <c r="J31"/>
      <c r="K31"/>
      <c r="L31"/>
      <c r="N31" t="s">
        <v>62</v>
      </c>
      <c r="O31"/>
      <c r="P31"/>
      <c r="Q31"/>
      <c r="R31"/>
      <c r="S31"/>
      <c r="T31"/>
      <c r="U31"/>
      <c r="V31"/>
      <c r="W31"/>
      <c r="X31"/>
    </row>
    <row r="32" spans="2:24" x14ac:dyDescent="0.35">
      <c r="B32" s="103" t="s">
        <v>101</v>
      </c>
      <c r="C32" s="103"/>
      <c r="D32" s="103"/>
      <c r="E32" s="103"/>
      <c r="F32" s="103"/>
      <c r="G32" s="103"/>
      <c r="H32" s="103"/>
      <c r="I32" s="103"/>
      <c r="J32"/>
      <c r="K32"/>
      <c r="L32"/>
      <c r="N32" t="s">
        <v>63</v>
      </c>
      <c r="O32"/>
      <c r="P32"/>
      <c r="Q32"/>
      <c r="R32"/>
      <c r="S32"/>
      <c r="T32"/>
      <c r="U32"/>
      <c r="V32"/>
      <c r="W32"/>
      <c r="X32"/>
    </row>
    <row r="33" spans="2:23" x14ac:dyDescent="0.35">
      <c r="B33" s="111" t="s">
        <v>16</v>
      </c>
      <c r="C33" s="128"/>
      <c r="D33" s="128"/>
      <c r="E33" s="128"/>
      <c r="F33" s="128"/>
      <c r="G33" s="103"/>
      <c r="H33" s="103"/>
      <c r="I33" s="103"/>
      <c r="J33"/>
      <c r="K33"/>
      <c r="N33" s="103" t="s">
        <v>95</v>
      </c>
      <c r="S33"/>
      <c r="T33"/>
      <c r="U33"/>
      <c r="V33"/>
      <c r="W33"/>
    </row>
    <row r="34" spans="2:23" x14ac:dyDescent="0.35">
      <c r="B34" s="131"/>
      <c r="C34" s="128"/>
      <c r="D34" s="128"/>
      <c r="E34" s="128"/>
      <c r="F34" s="128"/>
      <c r="G34" s="103"/>
      <c r="H34" s="103"/>
      <c r="I34" s="103"/>
      <c r="J34"/>
      <c r="K34"/>
      <c r="N34" s="103" t="s">
        <v>96</v>
      </c>
      <c r="S34"/>
      <c r="T34"/>
      <c r="U34"/>
      <c r="V34"/>
      <c r="W34"/>
    </row>
    <row r="35" spans="2:23" x14ac:dyDescent="0.35">
      <c r="G35"/>
      <c r="H35"/>
      <c r="I35"/>
      <c r="J35"/>
      <c r="K35"/>
      <c r="N35" s="111" t="s">
        <v>64</v>
      </c>
      <c r="S35"/>
      <c r="T35"/>
      <c r="U35"/>
      <c r="V35"/>
      <c r="W35"/>
    </row>
    <row r="36" spans="2:23" x14ac:dyDescent="0.35">
      <c r="G36"/>
      <c r="H36"/>
      <c r="I36"/>
      <c r="J36"/>
      <c r="K36"/>
      <c r="N36" s="111" t="s">
        <v>17</v>
      </c>
      <c r="S36"/>
      <c r="T36"/>
      <c r="U36"/>
      <c r="V36"/>
      <c r="W36"/>
    </row>
    <row r="37" spans="2:23" x14ac:dyDescent="0.35">
      <c r="G37"/>
      <c r="H37"/>
      <c r="I37"/>
      <c r="J37"/>
      <c r="K37"/>
      <c r="N37" s="111" t="s">
        <v>18</v>
      </c>
      <c r="S37"/>
      <c r="T37"/>
      <c r="U37"/>
      <c r="V37"/>
      <c r="W37"/>
    </row>
    <row r="38" spans="2:23" x14ac:dyDescent="0.35">
      <c r="G38"/>
      <c r="H38"/>
      <c r="I38"/>
      <c r="J38"/>
      <c r="K38"/>
      <c r="S38"/>
      <c r="T38"/>
      <c r="U38"/>
      <c r="V38"/>
      <c r="W38"/>
    </row>
    <row r="39" spans="2:23" x14ac:dyDescent="0.35">
      <c r="G39"/>
      <c r="H39"/>
      <c r="I39"/>
      <c r="J39"/>
      <c r="K39"/>
      <c r="S39"/>
      <c r="T39"/>
      <c r="U39"/>
      <c r="V39"/>
      <c r="W39"/>
    </row>
    <row r="40" spans="2:23" x14ac:dyDescent="0.35">
      <c r="G40"/>
      <c r="H40"/>
      <c r="I40"/>
      <c r="J40"/>
      <c r="K40"/>
      <c r="S40"/>
      <c r="T40"/>
      <c r="U40"/>
      <c r="V40"/>
      <c r="W40"/>
    </row>
    <row r="41" spans="2:23" x14ac:dyDescent="0.35">
      <c r="G41"/>
      <c r="H41"/>
      <c r="I41"/>
      <c r="J41"/>
      <c r="K41"/>
      <c r="S41"/>
      <c r="T41"/>
      <c r="U41"/>
      <c r="V41"/>
      <c r="W41"/>
    </row>
    <row r="42" spans="2:23" x14ac:dyDescent="0.35">
      <c r="G42"/>
      <c r="H42"/>
      <c r="I42"/>
      <c r="J42"/>
      <c r="K42"/>
      <c r="S42"/>
      <c r="T42"/>
      <c r="U42"/>
      <c r="V42"/>
      <c r="W42"/>
    </row>
    <row r="43" spans="2:23" x14ac:dyDescent="0.35">
      <c r="G43"/>
      <c r="H43"/>
      <c r="I43"/>
      <c r="J43"/>
      <c r="K43"/>
      <c r="S43"/>
      <c r="T43"/>
      <c r="U43"/>
      <c r="V43"/>
      <c r="W43"/>
    </row>
    <row r="44" spans="2:23" x14ac:dyDescent="0.35">
      <c r="G44"/>
      <c r="H44"/>
      <c r="I44"/>
      <c r="J44"/>
      <c r="K44"/>
      <c r="S44"/>
      <c r="T44"/>
      <c r="U44"/>
      <c r="V44"/>
      <c r="W44"/>
    </row>
    <row r="45" spans="2:23" x14ac:dyDescent="0.35">
      <c r="G45"/>
      <c r="H45"/>
      <c r="I45"/>
      <c r="J45"/>
      <c r="K45"/>
      <c r="S45"/>
      <c r="T45"/>
      <c r="U45"/>
      <c r="V45"/>
      <c r="W45"/>
    </row>
    <row r="46" spans="2:23" x14ac:dyDescent="0.35">
      <c r="G46"/>
      <c r="H46"/>
      <c r="I46"/>
      <c r="J46"/>
      <c r="K46"/>
      <c r="S46"/>
      <c r="T46"/>
      <c r="U46"/>
      <c r="V46"/>
      <c r="W46"/>
    </row>
    <row r="47" spans="2:23" x14ac:dyDescent="0.35">
      <c r="G47"/>
      <c r="H47"/>
      <c r="I47"/>
      <c r="J47"/>
      <c r="K47"/>
      <c r="S47"/>
      <c r="T47"/>
      <c r="U47"/>
      <c r="V47"/>
      <c r="W47"/>
    </row>
    <row r="48" spans="2:23" x14ac:dyDescent="0.35">
      <c r="G48"/>
      <c r="H48"/>
      <c r="I48"/>
      <c r="J48"/>
      <c r="K48"/>
      <c r="S48"/>
      <c r="T48"/>
      <c r="U48"/>
      <c r="V48"/>
      <c r="W48"/>
    </row>
    <row r="49" spans="7:23" x14ac:dyDescent="0.35">
      <c r="G49"/>
      <c r="H49"/>
      <c r="I49"/>
      <c r="J49"/>
      <c r="K49"/>
      <c r="S49"/>
      <c r="T49"/>
      <c r="U49"/>
      <c r="V49"/>
      <c r="W49"/>
    </row>
    <row r="50" spans="7:23" x14ac:dyDescent="0.35">
      <c r="G50"/>
      <c r="H50"/>
      <c r="I50"/>
      <c r="J50"/>
      <c r="K50"/>
      <c r="S50"/>
      <c r="T50"/>
      <c r="U50"/>
      <c r="V50"/>
      <c r="W50"/>
    </row>
    <row r="51" spans="7:23" x14ac:dyDescent="0.35">
      <c r="G51"/>
      <c r="H51"/>
      <c r="I51"/>
      <c r="J51"/>
      <c r="K51"/>
      <c r="S51"/>
      <c r="T51"/>
      <c r="U51"/>
      <c r="V51"/>
      <c r="W51"/>
    </row>
    <row r="52" spans="7:23" x14ac:dyDescent="0.35">
      <c r="G52"/>
      <c r="H52"/>
      <c r="I52"/>
      <c r="J52"/>
      <c r="K52"/>
      <c r="S52"/>
      <c r="T52"/>
      <c r="U52"/>
      <c r="V52"/>
      <c r="W52"/>
    </row>
    <row r="53" spans="7:23" x14ac:dyDescent="0.35">
      <c r="G53"/>
      <c r="H53"/>
      <c r="I53"/>
      <c r="J53"/>
      <c r="K53"/>
      <c r="S53"/>
      <c r="T53"/>
      <c r="U53"/>
      <c r="V53"/>
      <c r="W53"/>
    </row>
    <row r="54" spans="7:23" x14ac:dyDescent="0.35">
      <c r="G54"/>
      <c r="H54"/>
      <c r="I54"/>
      <c r="J54"/>
      <c r="K54"/>
      <c r="S54"/>
      <c r="T54"/>
      <c r="U54"/>
      <c r="V54"/>
      <c r="W54"/>
    </row>
    <row r="55" spans="7:23" x14ac:dyDescent="0.35">
      <c r="G55"/>
      <c r="H55"/>
      <c r="I55"/>
      <c r="J55"/>
      <c r="K55"/>
      <c r="S55"/>
      <c r="T55"/>
      <c r="U55"/>
      <c r="V55"/>
      <c r="W55"/>
    </row>
    <row r="56" spans="7:23" x14ac:dyDescent="0.35">
      <c r="G56"/>
      <c r="H56"/>
      <c r="I56"/>
      <c r="J56"/>
      <c r="K56"/>
      <c r="S56"/>
      <c r="T56"/>
      <c r="U56"/>
      <c r="V56"/>
      <c r="W56"/>
    </row>
    <row r="57" spans="7:23" x14ac:dyDescent="0.35">
      <c r="G57"/>
      <c r="H57"/>
      <c r="I57"/>
      <c r="J57"/>
      <c r="K57"/>
      <c r="S57"/>
      <c r="T57"/>
      <c r="U57"/>
      <c r="V57"/>
      <c r="W57"/>
    </row>
    <row r="58" spans="7:23" x14ac:dyDescent="0.35">
      <c r="G58"/>
      <c r="H58"/>
      <c r="I58"/>
      <c r="J58"/>
      <c r="K58"/>
      <c r="S58"/>
      <c r="T58"/>
      <c r="U58"/>
      <c r="V58"/>
      <c r="W58"/>
    </row>
    <row r="59" spans="7:23" x14ac:dyDescent="0.35">
      <c r="G59"/>
      <c r="H59"/>
      <c r="I59"/>
      <c r="J59"/>
      <c r="K59"/>
      <c r="S59"/>
      <c r="T59"/>
      <c r="U59"/>
      <c r="V59"/>
      <c r="W59"/>
    </row>
    <row r="60" spans="7:23" x14ac:dyDescent="0.35">
      <c r="G60"/>
      <c r="H60"/>
      <c r="I60"/>
      <c r="J60"/>
      <c r="K60"/>
      <c r="S60"/>
      <c r="T60"/>
      <c r="U60"/>
      <c r="V60"/>
      <c r="W60"/>
    </row>
    <row r="61" spans="7:23" x14ac:dyDescent="0.35">
      <c r="G61"/>
      <c r="H61"/>
      <c r="I61"/>
      <c r="J61"/>
      <c r="K61"/>
      <c r="S61"/>
      <c r="T61"/>
      <c r="U61"/>
      <c r="V61"/>
      <c r="W61"/>
    </row>
    <row r="62" spans="7:23" x14ac:dyDescent="0.35">
      <c r="G62"/>
      <c r="H62"/>
      <c r="I62"/>
      <c r="J62"/>
      <c r="K62"/>
      <c r="S62"/>
      <c r="T62"/>
      <c r="U62"/>
      <c r="V62"/>
      <c r="W62"/>
    </row>
    <row r="63" spans="7:23" x14ac:dyDescent="0.35">
      <c r="G63"/>
      <c r="H63"/>
      <c r="I63"/>
      <c r="J63"/>
      <c r="K63"/>
      <c r="S63"/>
      <c r="T63"/>
      <c r="U63"/>
      <c r="V63"/>
      <c r="W63"/>
    </row>
    <row r="64" spans="7:23" x14ac:dyDescent="0.35">
      <c r="G64"/>
      <c r="H64"/>
      <c r="I64"/>
      <c r="J64"/>
      <c r="K64"/>
      <c r="S64"/>
      <c r="T64"/>
      <c r="U64"/>
      <c r="V64"/>
      <c r="W64"/>
    </row>
    <row r="65" spans="7:23" x14ac:dyDescent="0.35">
      <c r="G65"/>
      <c r="H65"/>
      <c r="I65"/>
      <c r="J65"/>
      <c r="K65"/>
      <c r="S65"/>
      <c r="T65"/>
      <c r="U65"/>
      <c r="V65"/>
      <c r="W65"/>
    </row>
    <row r="66" spans="7:23" x14ac:dyDescent="0.35">
      <c r="G66"/>
      <c r="H66"/>
      <c r="I66"/>
      <c r="J66"/>
      <c r="K66"/>
      <c r="S66"/>
      <c r="T66"/>
      <c r="U66"/>
      <c r="V66"/>
      <c r="W66"/>
    </row>
    <row r="67" spans="7:23" x14ac:dyDescent="0.35">
      <c r="G67"/>
      <c r="H67"/>
      <c r="I67"/>
      <c r="J67"/>
      <c r="K67"/>
      <c r="S67"/>
      <c r="T67"/>
      <c r="U67"/>
      <c r="V67"/>
      <c r="W67"/>
    </row>
    <row r="68" spans="7:23" x14ac:dyDescent="0.35">
      <c r="G68"/>
      <c r="H68"/>
      <c r="I68"/>
      <c r="J68"/>
      <c r="K68"/>
      <c r="S68"/>
      <c r="T68"/>
      <c r="U68"/>
      <c r="V68"/>
      <c r="W68"/>
    </row>
    <row r="69" spans="7:23" x14ac:dyDescent="0.35">
      <c r="G69"/>
      <c r="H69"/>
      <c r="I69"/>
      <c r="J69"/>
      <c r="K69"/>
      <c r="S69"/>
      <c r="T69"/>
      <c r="U69"/>
      <c r="V69"/>
      <c r="W69"/>
    </row>
    <row r="70" spans="7:23" x14ac:dyDescent="0.35">
      <c r="G70"/>
      <c r="H70"/>
      <c r="I70"/>
      <c r="J70"/>
      <c r="K70"/>
      <c r="S70"/>
      <c r="T70"/>
      <c r="U70"/>
      <c r="V70"/>
      <c r="W70"/>
    </row>
    <row r="71" spans="7:23" x14ac:dyDescent="0.35">
      <c r="G71"/>
      <c r="H71"/>
      <c r="I71"/>
      <c r="J71"/>
      <c r="K71"/>
      <c r="S71"/>
      <c r="T71"/>
      <c r="U71"/>
      <c r="V71"/>
      <c r="W71"/>
    </row>
    <row r="72" spans="7:23" x14ac:dyDescent="0.35">
      <c r="G72"/>
      <c r="H72"/>
      <c r="I72"/>
      <c r="J72"/>
      <c r="K72"/>
      <c r="S72"/>
      <c r="T72"/>
      <c r="U72"/>
      <c r="V72"/>
      <c r="W72"/>
    </row>
    <row r="73" spans="7:23" x14ac:dyDescent="0.35">
      <c r="G73"/>
      <c r="H73"/>
      <c r="I73"/>
      <c r="J73"/>
      <c r="K73"/>
      <c r="S73"/>
      <c r="T73"/>
      <c r="U73"/>
      <c r="V73"/>
      <c r="W73"/>
    </row>
    <row r="74" spans="7:23" x14ac:dyDescent="0.35">
      <c r="G74"/>
      <c r="H74"/>
      <c r="I74"/>
      <c r="J74"/>
      <c r="K74"/>
      <c r="S74"/>
      <c r="T74"/>
      <c r="U74"/>
      <c r="V74"/>
      <c r="W74"/>
    </row>
    <row r="75" spans="7:23" x14ac:dyDescent="0.35">
      <c r="G75"/>
      <c r="H75"/>
      <c r="I75"/>
      <c r="J75"/>
      <c r="K75"/>
      <c r="S75"/>
      <c r="T75"/>
      <c r="U75"/>
      <c r="V75"/>
      <c r="W75"/>
    </row>
    <row r="76" spans="7:23" x14ac:dyDescent="0.35">
      <c r="G76"/>
      <c r="H76"/>
      <c r="I76"/>
      <c r="J76"/>
      <c r="K76"/>
      <c r="S76"/>
      <c r="T76"/>
      <c r="U76"/>
      <c r="V76"/>
      <c r="W76"/>
    </row>
    <row r="77" spans="7:23" x14ac:dyDescent="0.35">
      <c r="G77"/>
      <c r="H77"/>
      <c r="I77"/>
      <c r="J77"/>
      <c r="K77"/>
      <c r="S77"/>
      <c r="T77"/>
      <c r="U77"/>
      <c r="V77"/>
      <c r="W77"/>
    </row>
    <row r="78" spans="7:23" x14ac:dyDescent="0.35">
      <c r="G78"/>
      <c r="H78"/>
      <c r="I78"/>
      <c r="J78"/>
      <c r="K78"/>
      <c r="S78"/>
      <c r="T78"/>
      <c r="U78"/>
      <c r="V78"/>
      <c r="W78"/>
    </row>
    <row r="79" spans="7:23" x14ac:dyDescent="0.35">
      <c r="G79"/>
      <c r="H79"/>
      <c r="I79"/>
      <c r="J79"/>
      <c r="K79"/>
      <c r="S79"/>
      <c r="T79"/>
      <c r="U79"/>
      <c r="V79"/>
      <c r="W79"/>
    </row>
    <row r="80" spans="7:23" x14ac:dyDescent="0.35">
      <c r="G80"/>
      <c r="H80"/>
      <c r="I80"/>
      <c r="J80"/>
      <c r="K80"/>
      <c r="S80"/>
      <c r="T80"/>
      <c r="U80"/>
      <c r="V80"/>
      <c r="W80"/>
    </row>
    <row r="81" spans="7:23" x14ac:dyDescent="0.35">
      <c r="G81"/>
      <c r="H81"/>
      <c r="I81"/>
      <c r="J81"/>
      <c r="K81"/>
      <c r="S81"/>
      <c r="T81"/>
      <c r="U81"/>
      <c r="V81"/>
      <c r="W81"/>
    </row>
    <row r="82" spans="7:23" x14ac:dyDescent="0.35">
      <c r="G82"/>
      <c r="H82"/>
      <c r="I82"/>
      <c r="J82"/>
      <c r="K82"/>
      <c r="S82"/>
      <c r="T82"/>
      <c r="U82"/>
      <c r="V82"/>
      <c r="W82"/>
    </row>
    <row r="83" spans="7:23" x14ac:dyDescent="0.35">
      <c r="G83"/>
      <c r="H83"/>
      <c r="I83"/>
      <c r="J83"/>
      <c r="K83"/>
      <c r="S83"/>
      <c r="T83"/>
      <c r="U83"/>
      <c r="V83"/>
      <c r="W83"/>
    </row>
    <row r="84" spans="7:23" x14ac:dyDescent="0.35">
      <c r="G84"/>
      <c r="H84"/>
      <c r="I84"/>
      <c r="J84"/>
      <c r="K84"/>
      <c r="S84"/>
      <c r="T84"/>
      <c r="U84"/>
      <c r="V84"/>
      <c r="W84"/>
    </row>
    <row r="85" spans="7:23" x14ac:dyDescent="0.35">
      <c r="G85"/>
      <c r="H85"/>
      <c r="I85"/>
      <c r="J85"/>
      <c r="K85"/>
      <c r="S85"/>
      <c r="T85"/>
      <c r="U85"/>
      <c r="V85"/>
      <c r="W85"/>
    </row>
    <row r="86" spans="7:23" x14ac:dyDescent="0.35">
      <c r="G86"/>
      <c r="H86"/>
      <c r="I86"/>
      <c r="J86"/>
      <c r="K86"/>
      <c r="S86"/>
      <c r="T86"/>
      <c r="U86"/>
      <c r="V86"/>
      <c r="W86"/>
    </row>
    <row r="87" spans="7:23" x14ac:dyDescent="0.35">
      <c r="G87"/>
      <c r="H87"/>
      <c r="I87"/>
      <c r="J87"/>
      <c r="K87"/>
      <c r="S87"/>
      <c r="T87"/>
      <c r="U87"/>
      <c r="V87"/>
      <c r="W87"/>
    </row>
    <row r="88" spans="7:23" x14ac:dyDescent="0.35">
      <c r="G88"/>
      <c r="H88"/>
      <c r="I88"/>
      <c r="J88"/>
      <c r="K88"/>
      <c r="S88"/>
      <c r="T88"/>
      <c r="U88"/>
      <c r="V88"/>
      <c r="W88"/>
    </row>
  </sheetData>
  <pageMargins left="0.7" right="0.7" top="0.75" bottom="0.75" header="0.3" footer="0.3"/>
  <pageSetup scale="69" orientation="portrait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83D7-B91A-43C9-A440-8F5DD8E6345A}">
  <dimension ref="A1:AR49"/>
  <sheetViews>
    <sheetView showGridLines="0" zoomScaleNormal="100" workbookViewId="0"/>
  </sheetViews>
  <sheetFormatPr defaultColWidth="9.1796875" defaultRowHeight="14.5" x14ac:dyDescent="0.35"/>
  <cols>
    <col min="1" max="1" width="5.453125" customWidth="1"/>
    <col min="2" max="2" width="13.453125" customWidth="1"/>
    <col min="3" max="3" width="13.453125" bestFit="1" customWidth="1"/>
    <col min="4" max="6" width="13.453125" customWidth="1"/>
    <col min="7" max="7" width="9.54296875" customWidth="1"/>
    <col min="8" max="8" width="12.54296875" customWidth="1"/>
    <col min="9" max="9" width="12.453125" customWidth="1"/>
    <col min="10" max="10" width="9.54296875" customWidth="1"/>
    <col min="11" max="11" width="10.81640625" customWidth="1"/>
    <col min="12" max="12" width="13.54296875" customWidth="1"/>
    <col min="13" max="13" width="13.26953125" customWidth="1"/>
    <col min="14" max="14" width="10.54296875" customWidth="1"/>
    <col min="15" max="16" width="5.453125" customWidth="1"/>
    <col min="17" max="17" width="21" customWidth="1"/>
    <col min="18" max="18" width="13.453125" bestFit="1" customWidth="1"/>
    <col min="19" max="19" width="11.54296875" style="4" customWidth="1"/>
    <col min="20" max="20" width="10.54296875" style="4" customWidth="1"/>
    <col min="21" max="21" width="11.1796875" customWidth="1"/>
    <col min="22" max="22" width="11.453125" bestFit="1" customWidth="1"/>
    <col min="23" max="23" width="12.54296875" bestFit="1" customWidth="1"/>
    <col min="24" max="24" width="11.54296875" customWidth="1"/>
    <col min="25" max="25" width="13.453125" customWidth="1"/>
    <col min="26" max="26" width="11.81640625" bestFit="1" customWidth="1"/>
    <col min="27" max="27" width="12.81640625" bestFit="1" customWidth="1"/>
    <col min="28" max="28" width="12" customWidth="1"/>
    <col min="29" max="29" width="11.54296875" customWidth="1"/>
    <col min="30" max="31" width="5.453125" customWidth="1"/>
    <col min="32" max="32" width="21" customWidth="1"/>
    <col min="33" max="33" width="13.453125" bestFit="1" customWidth="1"/>
    <col min="34" max="36" width="11.54296875" customWidth="1"/>
    <col min="37" max="37" width="9.54296875" customWidth="1"/>
    <col min="38" max="39" width="11.54296875" customWidth="1"/>
    <col min="40" max="40" width="13.453125" customWidth="1"/>
    <col min="41" max="41" width="11.81640625" bestFit="1" customWidth="1"/>
    <col min="42" max="42" width="9.54296875" customWidth="1"/>
    <col min="43" max="43" width="11.54296875" customWidth="1"/>
    <col min="44" max="44" width="5.453125" customWidth="1"/>
  </cols>
  <sheetData>
    <row r="1" spans="1:44" ht="18.5" x14ac:dyDescent="0.45">
      <c r="O1" s="5" t="s">
        <v>21</v>
      </c>
      <c r="AD1" s="5" t="s">
        <v>21</v>
      </c>
      <c r="AL1" s="5"/>
      <c r="AQ1" s="5"/>
      <c r="AR1" s="5" t="s">
        <v>21</v>
      </c>
    </row>
    <row r="2" spans="1:44" ht="18.5" x14ac:dyDescent="0.45">
      <c r="A2" s="7"/>
      <c r="B2" s="8" t="s">
        <v>20</v>
      </c>
      <c r="C2" s="8"/>
      <c r="D2" s="8"/>
      <c r="E2" s="8"/>
      <c r="F2" s="8"/>
      <c r="G2" s="9"/>
      <c r="H2" s="7"/>
      <c r="I2" s="7"/>
      <c r="J2" s="7"/>
      <c r="K2" s="7"/>
      <c r="L2" s="7"/>
      <c r="M2" s="7"/>
      <c r="N2" s="7"/>
      <c r="O2" s="121" t="s">
        <v>67</v>
      </c>
      <c r="P2" s="183"/>
      <c r="Q2" s="95" t="s">
        <v>20</v>
      </c>
      <c r="R2" s="95"/>
      <c r="U2" s="103"/>
      <c r="V2" s="184"/>
      <c r="W2" s="184"/>
      <c r="X2" s="183"/>
      <c r="Y2" s="7"/>
      <c r="Z2" s="7"/>
      <c r="AA2" s="7"/>
      <c r="AB2" s="7"/>
      <c r="AC2" s="7"/>
      <c r="AD2" s="121" t="s">
        <v>65</v>
      </c>
      <c r="AE2" s="183"/>
      <c r="AF2" s="95" t="s">
        <v>20</v>
      </c>
      <c r="AG2" s="95"/>
      <c r="AH2" s="183"/>
      <c r="AI2" s="183"/>
      <c r="AJ2" s="183"/>
      <c r="AK2" s="183"/>
      <c r="AL2" s="121"/>
      <c r="AM2" s="183"/>
      <c r="AN2" s="7"/>
      <c r="AO2" s="7"/>
      <c r="AP2" s="7"/>
      <c r="AQ2" s="5"/>
      <c r="AR2" s="121" t="s">
        <v>66</v>
      </c>
    </row>
    <row r="3" spans="1:44" ht="18" x14ac:dyDescent="0.4">
      <c r="A3" s="7"/>
      <c r="B3" s="8" t="s">
        <v>25</v>
      </c>
      <c r="C3" s="8"/>
      <c r="D3" s="8"/>
      <c r="E3" s="8"/>
      <c r="F3" s="8"/>
      <c r="G3" s="8"/>
      <c r="H3" s="7"/>
      <c r="I3" s="7"/>
      <c r="J3" s="7"/>
      <c r="K3" s="7"/>
      <c r="L3" s="7"/>
      <c r="M3" s="6"/>
      <c r="N3" s="6"/>
      <c r="O3" s="183"/>
      <c r="P3" s="183"/>
      <c r="Q3" s="95" t="s">
        <v>25</v>
      </c>
      <c r="R3" s="95"/>
      <c r="S3" s="10"/>
      <c r="T3" s="10"/>
      <c r="U3" s="103"/>
      <c r="V3" s="95"/>
      <c r="W3" s="95"/>
      <c r="X3" s="183"/>
      <c r="Y3" s="7"/>
      <c r="Z3" s="7"/>
      <c r="AA3" s="7"/>
      <c r="AB3" s="7"/>
      <c r="AC3" s="7"/>
      <c r="AD3" s="183"/>
      <c r="AE3" s="183"/>
      <c r="AF3" s="95" t="s">
        <v>25</v>
      </c>
      <c r="AG3" s="95"/>
      <c r="AH3" s="186"/>
      <c r="AI3" s="186"/>
      <c r="AJ3" s="186"/>
      <c r="AK3" s="186"/>
      <c r="AL3" s="186"/>
      <c r="AM3" s="183"/>
      <c r="AN3" s="7"/>
      <c r="AO3" s="7"/>
      <c r="AP3" s="6"/>
      <c r="AQ3" s="6"/>
      <c r="AR3" s="7"/>
    </row>
    <row r="4" spans="1:44" ht="18" x14ac:dyDescent="0.4">
      <c r="A4" s="7"/>
      <c r="B4" s="95" t="s">
        <v>107</v>
      </c>
      <c r="C4" s="8"/>
      <c r="D4" s="8"/>
      <c r="E4" s="8"/>
      <c r="F4" s="8"/>
      <c r="G4" s="8"/>
      <c r="H4" s="7"/>
      <c r="I4" s="7"/>
      <c r="J4" s="7"/>
      <c r="K4" s="7"/>
      <c r="L4" s="7"/>
      <c r="M4" s="6"/>
      <c r="N4" s="6"/>
      <c r="O4" s="183"/>
      <c r="P4" s="183"/>
      <c r="Q4" s="95" t="s">
        <v>107</v>
      </c>
      <c r="R4" s="95"/>
      <c r="S4" s="10"/>
      <c r="T4" s="10"/>
      <c r="U4" s="103"/>
      <c r="V4" s="95"/>
      <c r="W4" s="95"/>
      <c r="X4" s="183"/>
      <c r="Y4" s="7"/>
      <c r="Z4" s="7"/>
      <c r="AA4" s="7"/>
      <c r="AB4" s="7"/>
      <c r="AC4" s="7"/>
      <c r="AD4" s="183"/>
      <c r="AE4" s="183"/>
      <c r="AF4" s="95" t="s">
        <v>107</v>
      </c>
      <c r="AG4" s="95"/>
      <c r="AH4" s="186"/>
      <c r="AI4" s="186"/>
      <c r="AJ4" s="186"/>
      <c r="AK4" s="186"/>
      <c r="AL4" s="186"/>
      <c r="AM4" s="183"/>
      <c r="AN4" s="7"/>
      <c r="AO4" s="7"/>
      <c r="AP4" s="6"/>
      <c r="AQ4" s="6"/>
      <c r="AR4" s="7"/>
    </row>
    <row r="5" spans="1:44" ht="18" x14ac:dyDescent="0.4">
      <c r="A5" s="7"/>
      <c r="B5" s="95" t="s">
        <v>68</v>
      </c>
      <c r="C5" s="95"/>
      <c r="D5" s="95"/>
      <c r="E5" s="95"/>
      <c r="F5" s="8"/>
      <c r="G5" s="11"/>
      <c r="H5" s="7"/>
      <c r="I5" s="7"/>
      <c r="J5" s="7"/>
      <c r="K5" s="7"/>
      <c r="L5" s="7"/>
      <c r="M5" s="12"/>
      <c r="N5" s="12"/>
      <c r="O5" s="183"/>
      <c r="P5" s="183"/>
      <c r="Q5" s="95" t="s">
        <v>68</v>
      </c>
      <c r="R5" s="95"/>
      <c r="S5" s="13"/>
      <c r="T5" s="13"/>
      <c r="U5" s="103"/>
      <c r="V5" s="185"/>
      <c r="W5" s="185"/>
      <c r="X5" s="183"/>
      <c r="Y5" s="7"/>
      <c r="Z5" s="7"/>
      <c r="AA5" s="7"/>
      <c r="AB5" s="7"/>
      <c r="AC5" s="7"/>
      <c r="AD5" s="183"/>
      <c r="AE5" s="183"/>
      <c r="AF5" s="95" t="s">
        <v>68</v>
      </c>
      <c r="AG5" s="95"/>
      <c r="AH5" s="187"/>
      <c r="AI5" s="187"/>
      <c r="AJ5" s="187"/>
      <c r="AK5" s="187"/>
      <c r="AL5" s="187"/>
      <c r="AM5" s="183"/>
      <c r="AN5" s="7"/>
      <c r="AO5" s="7"/>
      <c r="AP5" s="12"/>
      <c r="AQ5" s="12"/>
      <c r="AR5" s="7"/>
    </row>
    <row r="6" spans="1:44" ht="18" x14ac:dyDescent="0.4">
      <c r="A6" s="7"/>
      <c r="B6" s="95" t="s">
        <v>27</v>
      </c>
      <c r="C6" s="95"/>
      <c r="D6" s="95"/>
      <c r="E6" s="95"/>
      <c r="F6" s="8"/>
      <c r="G6" s="11"/>
      <c r="H6" s="7"/>
      <c r="I6" s="7"/>
      <c r="J6" s="7"/>
      <c r="K6" s="7"/>
      <c r="L6" s="7"/>
      <c r="M6" s="12"/>
      <c r="N6" s="12"/>
      <c r="O6" s="7"/>
      <c r="P6" s="7"/>
      <c r="Q6" s="8" t="s">
        <v>27</v>
      </c>
      <c r="R6" s="8"/>
      <c r="S6" s="13"/>
      <c r="T6" s="13"/>
      <c r="V6" s="11"/>
      <c r="W6" s="11"/>
      <c r="X6" s="7"/>
      <c r="Y6" s="7"/>
      <c r="Z6" s="7"/>
      <c r="AA6" s="7"/>
      <c r="AB6" s="7"/>
      <c r="AC6" s="7"/>
      <c r="AD6" s="7"/>
      <c r="AE6" s="7"/>
      <c r="AF6" s="8" t="s">
        <v>27</v>
      </c>
      <c r="AG6" s="8"/>
      <c r="AH6" s="12"/>
      <c r="AI6" s="12"/>
      <c r="AJ6" s="12"/>
      <c r="AK6" s="12"/>
      <c r="AL6" s="12"/>
      <c r="AM6" s="7"/>
      <c r="AN6" s="7"/>
      <c r="AO6" s="7"/>
      <c r="AP6" s="12"/>
      <c r="AQ6" s="12"/>
      <c r="AR6" s="7"/>
    </row>
    <row r="7" spans="1:44" x14ac:dyDescent="0.35">
      <c r="B7" s="103"/>
      <c r="C7" s="103"/>
      <c r="D7" s="103"/>
      <c r="E7" s="103"/>
    </row>
    <row r="8" spans="1:44" x14ac:dyDescent="0.35">
      <c r="B8" s="169"/>
      <c r="C8" s="169"/>
      <c r="D8" s="169">
        <v>-1</v>
      </c>
      <c r="E8" s="169">
        <v>-2</v>
      </c>
      <c r="F8" s="14">
        <v>-3</v>
      </c>
      <c r="G8" s="14">
        <v>-4</v>
      </c>
      <c r="H8" s="14">
        <v>-5</v>
      </c>
      <c r="I8" s="14">
        <v>-6</v>
      </c>
      <c r="J8" s="14">
        <v>-7</v>
      </c>
      <c r="K8" s="14">
        <v>-8</v>
      </c>
      <c r="L8" s="14">
        <v>-9</v>
      </c>
      <c r="M8" s="14">
        <v>-10</v>
      </c>
      <c r="N8" s="14">
        <v>-11</v>
      </c>
      <c r="Q8" s="14"/>
      <c r="R8" s="14"/>
      <c r="S8" s="14">
        <v>-12</v>
      </c>
      <c r="T8" s="14">
        <v>-13</v>
      </c>
      <c r="U8" s="14">
        <v>-14</v>
      </c>
      <c r="V8" s="14">
        <v>-15</v>
      </c>
      <c r="W8" s="14">
        <v>-16</v>
      </c>
      <c r="X8" s="14">
        <v>-17</v>
      </c>
      <c r="Y8" s="14">
        <v>-18</v>
      </c>
      <c r="Z8" s="14">
        <v>-19</v>
      </c>
      <c r="AA8" s="14">
        <v>-20</v>
      </c>
      <c r="AB8" s="14">
        <v>-21</v>
      </c>
      <c r="AC8" s="14">
        <v>-22</v>
      </c>
      <c r="AF8" s="14"/>
      <c r="AG8" s="14"/>
      <c r="AH8" s="14">
        <v>-23</v>
      </c>
      <c r="AI8" s="14">
        <v>-24</v>
      </c>
      <c r="AJ8" s="14">
        <v>-25</v>
      </c>
      <c r="AK8" s="14">
        <v>-26</v>
      </c>
      <c r="AL8" s="14">
        <v>-27</v>
      </c>
      <c r="AM8" s="14">
        <v>-28</v>
      </c>
      <c r="AN8" s="14"/>
      <c r="AO8" s="14"/>
      <c r="AP8" s="14"/>
      <c r="AQ8" s="14"/>
    </row>
    <row r="9" spans="1:44" ht="72.5" x14ac:dyDescent="0.35">
      <c r="B9" s="107" t="s">
        <v>29</v>
      </c>
      <c r="C9" s="170" t="s">
        <v>30</v>
      </c>
      <c r="D9" s="107" t="s">
        <v>70</v>
      </c>
      <c r="E9" s="107" t="s">
        <v>108</v>
      </c>
      <c r="F9" s="16" t="s">
        <v>71</v>
      </c>
      <c r="G9" s="16" t="s">
        <v>72</v>
      </c>
      <c r="H9" s="16" t="s">
        <v>31</v>
      </c>
      <c r="I9" s="107" t="s">
        <v>109</v>
      </c>
      <c r="J9" s="16" t="s">
        <v>32</v>
      </c>
      <c r="K9" s="107" t="s">
        <v>110</v>
      </c>
      <c r="L9" s="16" t="s">
        <v>111</v>
      </c>
      <c r="M9" s="16" t="s">
        <v>73</v>
      </c>
      <c r="N9" s="16" t="s">
        <v>112</v>
      </c>
      <c r="Q9" s="16" t="s">
        <v>29</v>
      </c>
      <c r="R9" s="16" t="s">
        <v>30</v>
      </c>
      <c r="S9" s="107" t="s">
        <v>113</v>
      </c>
      <c r="T9" s="17" t="s">
        <v>114</v>
      </c>
      <c r="U9" s="17" t="s">
        <v>115</v>
      </c>
      <c r="V9" s="17" t="s">
        <v>116</v>
      </c>
      <c r="W9" s="107" t="s">
        <v>117</v>
      </c>
      <c r="X9" s="108" t="s">
        <v>118</v>
      </c>
      <c r="Y9" s="108" t="s">
        <v>34</v>
      </c>
      <c r="Z9" s="108" t="s">
        <v>119</v>
      </c>
      <c r="AA9" s="108" t="s">
        <v>120</v>
      </c>
      <c r="AB9" s="18" t="s">
        <v>69</v>
      </c>
      <c r="AC9" s="18" t="s">
        <v>103</v>
      </c>
      <c r="AF9" s="16" t="s">
        <v>29</v>
      </c>
      <c r="AG9" s="16" t="s">
        <v>30</v>
      </c>
      <c r="AH9" s="18" t="s">
        <v>35</v>
      </c>
      <c r="AI9" s="18" t="s">
        <v>36</v>
      </c>
      <c r="AJ9" s="108" t="s">
        <v>104</v>
      </c>
      <c r="AK9" s="18" t="s">
        <v>37</v>
      </c>
      <c r="AL9" s="18" t="s">
        <v>38</v>
      </c>
      <c r="AM9" s="18" t="s">
        <v>39</v>
      </c>
      <c r="AN9" s="18"/>
      <c r="AO9" s="18"/>
      <c r="AP9" s="18"/>
      <c r="AQ9" s="18"/>
    </row>
    <row r="10" spans="1:44" x14ac:dyDescent="0.35">
      <c r="B10" s="36" t="s">
        <v>42</v>
      </c>
      <c r="C10" s="37">
        <v>2023</v>
      </c>
      <c r="D10" s="188">
        <f>100000-F10</f>
        <v>88750</v>
      </c>
      <c r="E10" s="188">
        <f>'Exemple1-FinAnnée'!E10+'Exemple1-FinAnnée'!E10*0.75</f>
        <v>87500</v>
      </c>
      <c r="F10" s="188">
        <f>'Exemple1-FinAnnée'!F10/4</f>
        <v>11250</v>
      </c>
      <c r="G10" s="171">
        <f>D10+F10-E10</f>
        <v>12500</v>
      </c>
      <c r="H10" s="189">
        <v>0.96</v>
      </c>
      <c r="I10" s="171">
        <f>G10*H10</f>
        <v>12000</v>
      </c>
      <c r="J10" s="190">
        <v>0.8</v>
      </c>
      <c r="K10" s="191">
        <v>0.14000000000000001</v>
      </c>
      <c r="L10" s="192">
        <f>'Exemple2-MiAnnée'!$H$23</f>
        <v>0.96260492381941987</v>
      </c>
      <c r="M10" s="192">
        <f>'Exemple2-MiAnnée'!$S$29</f>
        <v>0.99677351760569399</v>
      </c>
      <c r="N10" s="41">
        <f>I10*J10*L10</f>
        <v>9241.0072686664316</v>
      </c>
      <c r="Q10" s="105" t="str">
        <f t="shared" ref="Q10:R15" si="0">B10</f>
        <v>Groupe A23</v>
      </c>
      <c r="R10" s="106">
        <f t="shared" si="0"/>
        <v>2023</v>
      </c>
      <c r="S10" s="171">
        <f>I10*J10*K10*L10</f>
        <v>1293.7410176133005</v>
      </c>
      <c r="T10" s="23">
        <f t="shared" ref="T10:T15" si="1">N10+S10</f>
        <v>10534.748286279731</v>
      </c>
      <c r="U10" s="43">
        <v>0.1</v>
      </c>
      <c r="V10" s="25">
        <f t="shared" ref="V10:V15" si="2">T10*U10</f>
        <v>1053.4748286279732</v>
      </c>
      <c r="W10" s="153">
        <v>0</v>
      </c>
      <c r="X10" s="194">
        <v>1875</v>
      </c>
      <c r="Y10" s="191">
        <v>0.75</v>
      </c>
      <c r="Z10" s="195">
        <f t="shared" ref="Z10:Z15" si="3">G10*W10*Y10*H10+G10*W10*(1-Y10)</f>
        <v>0</v>
      </c>
      <c r="AA10" s="196">
        <f t="shared" ref="AA10:AA15" si="4">X10*Y10*H10+X10*(1-Y10)</f>
        <v>1818.75</v>
      </c>
      <c r="AB10" s="40">
        <v>7.0000000000000007E-2</v>
      </c>
      <c r="AC10" s="21">
        <f t="shared" ref="AC10:AC15" si="5">I10*AB10*M10</f>
        <v>837.28975478878306</v>
      </c>
      <c r="AE10" s="21"/>
      <c r="AF10" s="105" t="str">
        <f t="shared" ref="AF10:AG15" si="6">B10</f>
        <v>Groupe A23</v>
      </c>
      <c r="AG10" s="106">
        <f t="shared" si="6"/>
        <v>2023</v>
      </c>
      <c r="AH10" s="98">
        <f>(F10-(G10*(1-H10)))*M10</f>
        <v>10715.31531426121</v>
      </c>
      <c r="AI10" s="98">
        <f>T10+V10+Z10+AC10-AH10+(AA10-X10)</f>
        <v>1653.9475554352775</v>
      </c>
      <c r="AJ10" s="98">
        <f>D10-E10-X10</f>
        <v>-625</v>
      </c>
      <c r="AK10" s="21">
        <f>AJ10-AI10</f>
        <v>-2278.9475554352775</v>
      </c>
      <c r="AL10" s="22">
        <f>MAX(AI10-AJ10,0)</f>
        <v>2278.9475554352775</v>
      </c>
      <c r="AM10" s="22">
        <f>AJ10+AL10</f>
        <v>1653.9475554352775</v>
      </c>
      <c r="AP10" s="21"/>
      <c r="AQ10" s="22"/>
    </row>
    <row r="11" spans="1:44" x14ac:dyDescent="0.35">
      <c r="B11" s="36" t="s">
        <v>41</v>
      </c>
      <c r="C11" s="37">
        <v>2024</v>
      </c>
      <c r="D11" s="188">
        <f>50000*18/72+50000*(1-18/72)*(1-90%)</f>
        <v>16250</v>
      </c>
      <c r="E11" s="188">
        <f>'Exemple1-FinAnnée'!E10*0.25</f>
        <v>12500</v>
      </c>
      <c r="F11" s="188">
        <f>50000-D11+'Exemple1-FinAnnée'!F11</f>
        <v>50416.666666666672</v>
      </c>
      <c r="G11" s="171">
        <f t="shared" ref="G11:G15" si="7">D11+F11-E11</f>
        <v>54166.666666666672</v>
      </c>
      <c r="H11" s="189">
        <v>0.95</v>
      </c>
      <c r="I11" s="171">
        <f t="shared" ref="I11:I15" si="8">G11*H11</f>
        <v>51458.333333333336</v>
      </c>
      <c r="J11" s="190">
        <v>0.8</v>
      </c>
      <c r="K11" s="191">
        <v>0.14000000000000001</v>
      </c>
      <c r="L11" s="192">
        <f>'Exemple2-MiAnnée'!$J$23</f>
        <v>0.95700754739825011</v>
      </c>
      <c r="M11" s="192">
        <f>'Exemple2-MiAnnée'!$T$29</f>
        <v>0.99131710078262314</v>
      </c>
      <c r="N11" s="41">
        <f t="shared" ref="N11:N15" si="9">I11*J11*L11</f>
        <v>39396.810701227965</v>
      </c>
      <c r="Q11" s="105" t="str">
        <f t="shared" si="0"/>
        <v>Groupe A24</v>
      </c>
      <c r="R11" s="106">
        <f t="shared" si="0"/>
        <v>2024</v>
      </c>
      <c r="S11" s="171">
        <f t="shared" ref="S11:S15" si="10">I11*J11*K11*L11</f>
        <v>5515.5534981719165</v>
      </c>
      <c r="T11" s="23">
        <f t="shared" si="1"/>
        <v>44912.364199399883</v>
      </c>
      <c r="U11" s="43">
        <v>0.1</v>
      </c>
      <c r="V11" s="25">
        <f t="shared" si="2"/>
        <v>4491.2364199399881</v>
      </c>
      <c r="W11" s="153">
        <f>'Exemple1-FinAnnée'!W11*Parallélogramme!T47/Parallélogramme!U47</f>
        <v>4.6153846153846149E-2</v>
      </c>
      <c r="X11" s="194">
        <f>50000*15%*(1-18/72)</f>
        <v>5625</v>
      </c>
      <c r="Y11" s="191">
        <v>0.75</v>
      </c>
      <c r="Z11" s="195">
        <f t="shared" si="3"/>
        <v>2406.25</v>
      </c>
      <c r="AA11" s="196">
        <f t="shared" si="4"/>
        <v>5414.0625</v>
      </c>
      <c r="AB11" s="40">
        <v>7.0000000000000007E-2</v>
      </c>
      <c r="AC11" s="21">
        <f t="shared" si="5"/>
        <v>3570.8068067774079</v>
      </c>
      <c r="AE11" s="21"/>
      <c r="AF11" s="105" t="str">
        <f t="shared" si="6"/>
        <v>Groupe A24</v>
      </c>
      <c r="AG11" s="106">
        <f t="shared" si="6"/>
        <v>2024</v>
      </c>
      <c r="AH11" s="98">
        <f t="shared" ref="AH11:AH15" si="11">(F11-(G11*(1-H11)))*M11</f>
        <v>47294.086683170979</v>
      </c>
      <c r="AI11" s="98">
        <f t="shared" ref="AI11:AI15" si="12">T11+V11+Z11+AC11-AH11+(AA11-X11)</f>
        <v>7875.6332429463</v>
      </c>
      <c r="AJ11" s="98">
        <f t="shared" ref="AJ11:AJ15" si="13">D11-E11-X11</f>
        <v>-1875</v>
      </c>
      <c r="AK11" s="21">
        <f t="shared" ref="AK11:AK15" si="14">AJ11-AI11</f>
        <v>-9750.6332429463</v>
      </c>
      <c r="AL11" s="22">
        <f t="shared" ref="AL11:AL15" si="15">MAX(AI11-AJ11,0)</f>
        <v>9750.6332429463</v>
      </c>
      <c r="AM11" s="22">
        <f t="shared" ref="AM11:AM15" si="16">AJ11+AL11</f>
        <v>7875.6332429463</v>
      </c>
      <c r="AP11" s="21"/>
      <c r="AQ11" s="22"/>
    </row>
    <row r="12" spans="1:44" x14ac:dyDescent="0.35">
      <c r="B12" s="36" t="s">
        <v>40</v>
      </c>
      <c r="C12" s="37">
        <v>2023</v>
      </c>
      <c r="D12" s="188">
        <f>D10</f>
        <v>88750</v>
      </c>
      <c r="E12" s="188">
        <f t="shared" ref="E12:F12" si="17">E10</f>
        <v>87500</v>
      </c>
      <c r="F12" s="188">
        <f t="shared" si="17"/>
        <v>11250</v>
      </c>
      <c r="G12" s="171">
        <f t="shared" si="7"/>
        <v>12500</v>
      </c>
      <c r="H12" s="189">
        <v>0.96</v>
      </c>
      <c r="I12" s="171">
        <f t="shared" si="8"/>
        <v>12000</v>
      </c>
      <c r="J12" s="190">
        <v>0.7</v>
      </c>
      <c r="K12" s="191">
        <v>0.14000000000000001</v>
      </c>
      <c r="L12" s="193">
        <f>L10</f>
        <v>0.96260492381941987</v>
      </c>
      <c r="M12" s="192">
        <f>'Exemple2-MiAnnée'!$S$29</f>
        <v>0.99677351760569399</v>
      </c>
      <c r="N12" s="41">
        <f t="shared" si="9"/>
        <v>8085.8813600831272</v>
      </c>
      <c r="Q12" s="105" t="str">
        <f t="shared" si="0"/>
        <v>Groupe B23</v>
      </c>
      <c r="R12" s="106">
        <f t="shared" si="0"/>
        <v>2023</v>
      </c>
      <c r="S12" s="171">
        <f t="shared" si="10"/>
        <v>1132.0233904116378</v>
      </c>
      <c r="T12" s="23">
        <f t="shared" si="1"/>
        <v>9217.9047504947648</v>
      </c>
      <c r="U12" s="43">
        <v>0.1</v>
      </c>
      <c r="V12" s="25">
        <f t="shared" si="2"/>
        <v>921.79047504947653</v>
      </c>
      <c r="W12" s="153">
        <v>0</v>
      </c>
      <c r="X12" s="194">
        <v>1875</v>
      </c>
      <c r="Y12" s="191">
        <v>0.75</v>
      </c>
      <c r="Z12" s="195">
        <f t="shared" si="3"/>
        <v>0</v>
      </c>
      <c r="AA12" s="196">
        <f t="shared" si="4"/>
        <v>1818.75</v>
      </c>
      <c r="AB12" s="40">
        <v>7.0000000000000007E-2</v>
      </c>
      <c r="AC12" s="21">
        <f t="shared" si="5"/>
        <v>837.28975478878306</v>
      </c>
      <c r="AE12" s="21"/>
      <c r="AF12" s="105" t="str">
        <f t="shared" si="6"/>
        <v>Groupe B23</v>
      </c>
      <c r="AG12" s="106">
        <f t="shared" si="6"/>
        <v>2023</v>
      </c>
      <c r="AH12" s="98">
        <f t="shared" si="11"/>
        <v>10715.31531426121</v>
      </c>
      <c r="AI12" s="98">
        <f t="shared" si="12"/>
        <v>205.41966607181348</v>
      </c>
      <c r="AJ12" s="98">
        <f t="shared" si="13"/>
        <v>-625</v>
      </c>
      <c r="AK12" s="21">
        <f t="shared" si="14"/>
        <v>-830.41966607181348</v>
      </c>
      <c r="AL12" s="22">
        <f t="shared" si="15"/>
        <v>830.41966607181348</v>
      </c>
      <c r="AM12" s="22">
        <f t="shared" si="16"/>
        <v>205.41966607181348</v>
      </c>
      <c r="AP12" s="21"/>
      <c r="AQ12" s="22"/>
    </row>
    <row r="13" spans="1:44" x14ac:dyDescent="0.35">
      <c r="B13" s="36" t="s">
        <v>43</v>
      </c>
      <c r="C13" s="37">
        <v>2024</v>
      </c>
      <c r="D13" s="188">
        <f t="shared" ref="D13:F13" si="18">D11</f>
        <v>16250</v>
      </c>
      <c r="E13" s="188">
        <f t="shared" si="18"/>
        <v>12500</v>
      </c>
      <c r="F13" s="188">
        <f t="shared" si="18"/>
        <v>50416.666666666672</v>
      </c>
      <c r="G13" s="171">
        <f t="shared" si="7"/>
        <v>54166.666666666672</v>
      </c>
      <c r="H13" s="189">
        <v>0.95</v>
      </c>
      <c r="I13" s="171">
        <f t="shared" si="8"/>
        <v>51458.333333333336</v>
      </c>
      <c r="J13" s="190">
        <v>0.7</v>
      </c>
      <c r="K13" s="191">
        <v>0.14000000000000001</v>
      </c>
      <c r="L13" s="193">
        <f t="shared" ref="L13:L15" si="19">L11</f>
        <v>0.95700754739825011</v>
      </c>
      <c r="M13" s="192">
        <f>'Exemple2-MiAnnée'!$T$29</f>
        <v>0.99131710078262314</v>
      </c>
      <c r="N13" s="41">
        <f t="shared" si="9"/>
        <v>34472.209363574468</v>
      </c>
      <c r="Q13" s="105" t="str">
        <f t="shared" si="0"/>
        <v>Groupe B24</v>
      </c>
      <c r="R13" s="106">
        <f t="shared" si="0"/>
        <v>2024</v>
      </c>
      <c r="S13" s="171">
        <f t="shared" si="10"/>
        <v>4826.1093109004269</v>
      </c>
      <c r="T13" s="23">
        <f t="shared" si="1"/>
        <v>39298.318674474896</v>
      </c>
      <c r="U13" s="43">
        <v>0.1</v>
      </c>
      <c r="V13" s="25">
        <f t="shared" si="2"/>
        <v>3929.8318674474899</v>
      </c>
      <c r="W13" s="153">
        <f>15%*24/78</f>
        <v>4.6153846153846149E-2</v>
      </c>
      <c r="X13" s="194">
        <f>X11</f>
        <v>5625</v>
      </c>
      <c r="Y13" s="191">
        <v>0.75</v>
      </c>
      <c r="Z13" s="195">
        <f t="shared" si="3"/>
        <v>2406.25</v>
      </c>
      <c r="AA13" s="196">
        <f t="shared" si="4"/>
        <v>5414.0625</v>
      </c>
      <c r="AB13" s="40">
        <v>7.0000000000000007E-2</v>
      </c>
      <c r="AC13" s="21">
        <f t="shared" si="5"/>
        <v>3570.8068067774079</v>
      </c>
      <c r="AE13" s="21"/>
      <c r="AF13" s="105" t="str">
        <f t="shared" si="6"/>
        <v>Groupe B24</v>
      </c>
      <c r="AG13" s="106">
        <f t="shared" si="6"/>
        <v>2024</v>
      </c>
      <c r="AH13" s="98">
        <f t="shared" si="11"/>
        <v>47294.086683170979</v>
      </c>
      <c r="AI13" s="98">
        <f t="shared" si="12"/>
        <v>1700.1831655288115</v>
      </c>
      <c r="AJ13" s="98">
        <f t="shared" si="13"/>
        <v>-1875</v>
      </c>
      <c r="AK13" s="21">
        <f t="shared" si="14"/>
        <v>-3575.1831655288115</v>
      </c>
      <c r="AL13" s="22">
        <f t="shared" si="15"/>
        <v>3575.1831655288115</v>
      </c>
      <c r="AM13" s="22">
        <f t="shared" si="16"/>
        <v>1700.1831655288115</v>
      </c>
      <c r="AP13" s="21"/>
      <c r="AQ13" s="22"/>
    </row>
    <row r="14" spans="1:44" x14ac:dyDescent="0.35">
      <c r="B14" s="36" t="s">
        <v>44</v>
      </c>
      <c r="C14" s="37">
        <v>2023</v>
      </c>
      <c r="D14" s="188">
        <f t="shared" ref="D14:F14" si="20">D12</f>
        <v>88750</v>
      </c>
      <c r="E14" s="188">
        <f t="shared" si="20"/>
        <v>87500</v>
      </c>
      <c r="F14" s="188">
        <f t="shared" si="20"/>
        <v>11250</v>
      </c>
      <c r="G14" s="171">
        <f t="shared" si="7"/>
        <v>12500</v>
      </c>
      <c r="H14" s="189">
        <v>0.96</v>
      </c>
      <c r="I14" s="171">
        <f t="shared" si="8"/>
        <v>12000</v>
      </c>
      <c r="J14" s="190">
        <v>0.5</v>
      </c>
      <c r="K14" s="191">
        <v>0.14000000000000001</v>
      </c>
      <c r="L14" s="193">
        <f t="shared" si="19"/>
        <v>0.96260492381941987</v>
      </c>
      <c r="M14" s="192">
        <f>'Exemple2-MiAnnée'!$S$29</f>
        <v>0.99677351760569399</v>
      </c>
      <c r="N14" s="41">
        <f t="shared" si="9"/>
        <v>5775.6295429165193</v>
      </c>
      <c r="Q14" s="105" t="str">
        <f t="shared" si="0"/>
        <v>Groupe C23</v>
      </c>
      <c r="R14" s="106">
        <f t="shared" si="0"/>
        <v>2023</v>
      </c>
      <c r="S14" s="171">
        <f t="shared" si="10"/>
        <v>808.58813600831274</v>
      </c>
      <c r="T14" s="23">
        <f t="shared" si="1"/>
        <v>6584.2176789248324</v>
      </c>
      <c r="U14" s="43">
        <v>0.1</v>
      </c>
      <c r="V14" s="25">
        <f t="shared" si="2"/>
        <v>658.42176789248333</v>
      </c>
      <c r="W14" s="153">
        <v>0</v>
      </c>
      <c r="X14" s="194">
        <v>1875</v>
      </c>
      <c r="Y14" s="191">
        <v>0.75</v>
      </c>
      <c r="Z14" s="195">
        <f t="shared" si="3"/>
        <v>0</v>
      </c>
      <c r="AA14" s="196">
        <f t="shared" si="4"/>
        <v>1818.75</v>
      </c>
      <c r="AB14" s="40">
        <v>7.0000000000000007E-2</v>
      </c>
      <c r="AC14" s="21">
        <f t="shared" si="5"/>
        <v>837.28975478878306</v>
      </c>
      <c r="AE14" s="21"/>
      <c r="AF14" s="105" t="str">
        <f t="shared" si="6"/>
        <v>Groupe C23</v>
      </c>
      <c r="AG14" s="106">
        <f t="shared" si="6"/>
        <v>2023</v>
      </c>
      <c r="AH14" s="98">
        <f t="shared" si="11"/>
        <v>10715.31531426121</v>
      </c>
      <c r="AI14" s="98">
        <f t="shared" si="12"/>
        <v>-2691.636112655111</v>
      </c>
      <c r="AJ14" s="98">
        <f t="shared" si="13"/>
        <v>-625</v>
      </c>
      <c r="AK14" s="21">
        <f t="shared" si="14"/>
        <v>2066.636112655111</v>
      </c>
      <c r="AL14" s="22">
        <f t="shared" si="15"/>
        <v>0</v>
      </c>
      <c r="AM14" s="22">
        <f t="shared" si="16"/>
        <v>-625</v>
      </c>
      <c r="AP14" s="21"/>
      <c r="AQ14" s="22"/>
    </row>
    <row r="15" spans="1:44" x14ac:dyDescent="0.35">
      <c r="B15" s="36" t="s">
        <v>82</v>
      </c>
      <c r="C15" s="37">
        <v>2024</v>
      </c>
      <c r="D15" s="188">
        <f t="shared" ref="D15:F15" si="21">D13</f>
        <v>16250</v>
      </c>
      <c r="E15" s="188">
        <f t="shared" si="21"/>
        <v>12500</v>
      </c>
      <c r="F15" s="188">
        <f t="shared" si="21"/>
        <v>50416.666666666672</v>
      </c>
      <c r="G15" s="171">
        <f t="shared" si="7"/>
        <v>54166.666666666672</v>
      </c>
      <c r="H15" s="189">
        <v>0.95</v>
      </c>
      <c r="I15" s="171">
        <f t="shared" si="8"/>
        <v>51458.333333333336</v>
      </c>
      <c r="J15" s="190">
        <v>0.5</v>
      </c>
      <c r="K15" s="191">
        <v>0.14000000000000001</v>
      </c>
      <c r="L15" s="193">
        <f t="shared" si="19"/>
        <v>0.95700754739825011</v>
      </c>
      <c r="M15" s="192">
        <f>'Exemple2-MiAnnée'!$T$29</f>
        <v>0.99131710078262314</v>
      </c>
      <c r="N15" s="41">
        <f t="shared" si="9"/>
        <v>24623.006688267476</v>
      </c>
      <c r="Q15" s="105" t="str">
        <f t="shared" si="0"/>
        <v>Groupe C24</v>
      </c>
      <c r="R15" s="106">
        <f t="shared" si="0"/>
        <v>2024</v>
      </c>
      <c r="S15" s="171">
        <f t="shared" si="10"/>
        <v>3447.2209363574475</v>
      </c>
      <c r="T15" s="23">
        <f t="shared" si="1"/>
        <v>28070.227624624924</v>
      </c>
      <c r="U15" s="43">
        <v>0.1</v>
      </c>
      <c r="V15" s="25">
        <f t="shared" si="2"/>
        <v>2807.0227624624927</v>
      </c>
      <c r="W15" s="153">
        <f>15%*24/78</f>
        <v>4.6153846153846149E-2</v>
      </c>
      <c r="X15" s="194">
        <f>X13</f>
        <v>5625</v>
      </c>
      <c r="Y15" s="191">
        <v>0.75</v>
      </c>
      <c r="Z15" s="195">
        <f t="shared" si="3"/>
        <v>2406.25</v>
      </c>
      <c r="AA15" s="196">
        <f t="shared" si="4"/>
        <v>5414.0625</v>
      </c>
      <c r="AB15" s="40">
        <v>7.0000000000000007E-2</v>
      </c>
      <c r="AC15" s="21">
        <f t="shared" si="5"/>
        <v>3570.8068067774079</v>
      </c>
      <c r="AE15" s="21"/>
      <c r="AF15" s="105" t="str">
        <f t="shared" si="6"/>
        <v>Groupe C24</v>
      </c>
      <c r="AG15" s="106">
        <f t="shared" si="6"/>
        <v>2024</v>
      </c>
      <c r="AH15" s="98">
        <f t="shared" si="11"/>
        <v>47294.086683170979</v>
      </c>
      <c r="AI15" s="98">
        <f t="shared" si="12"/>
        <v>-10650.716989306151</v>
      </c>
      <c r="AJ15" s="98">
        <f t="shared" si="13"/>
        <v>-1875</v>
      </c>
      <c r="AK15" s="21">
        <f t="shared" si="14"/>
        <v>8775.7169893061509</v>
      </c>
      <c r="AL15" s="22">
        <f t="shared" si="15"/>
        <v>0</v>
      </c>
      <c r="AM15" s="22">
        <f t="shared" si="16"/>
        <v>-1875</v>
      </c>
      <c r="AP15" s="21"/>
      <c r="AQ15" s="22"/>
    </row>
    <row r="16" spans="1:44" x14ac:dyDescent="0.35">
      <c r="B16" s="36" t="s">
        <v>1</v>
      </c>
      <c r="C16" s="20"/>
      <c r="D16" s="172"/>
      <c r="E16" s="172"/>
      <c r="F16" s="172"/>
      <c r="G16" s="173"/>
      <c r="H16" s="173"/>
      <c r="I16" s="173"/>
      <c r="J16" s="174"/>
      <c r="K16" s="173"/>
      <c r="L16" s="174"/>
      <c r="M16" s="175"/>
      <c r="N16" s="21"/>
      <c r="Q16" s="36" t="s">
        <v>1</v>
      </c>
      <c r="R16" s="20"/>
      <c r="S16" s="21"/>
      <c r="T16" s="23"/>
      <c r="U16" s="27"/>
      <c r="V16" s="25"/>
      <c r="W16" s="176"/>
      <c r="X16" s="173"/>
      <c r="Y16" s="173"/>
      <c r="Z16" s="197"/>
      <c r="AA16" s="173"/>
      <c r="AB16" s="26"/>
      <c r="AC16" s="21"/>
      <c r="AF16" s="36" t="s">
        <v>1</v>
      </c>
      <c r="AG16" s="20"/>
      <c r="AH16" s="2"/>
      <c r="AI16" s="2"/>
      <c r="AJ16" s="2"/>
      <c r="AK16" s="21"/>
      <c r="AL16" s="22"/>
      <c r="AM16" s="21"/>
      <c r="AN16" s="21"/>
      <c r="AO16" s="26"/>
      <c r="AP16" s="21"/>
      <c r="AQ16" s="22"/>
    </row>
    <row r="17" spans="2:43" x14ac:dyDescent="0.35">
      <c r="B17" s="20"/>
      <c r="C17" s="20"/>
      <c r="D17" s="20"/>
      <c r="E17" s="20"/>
      <c r="F17" s="20"/>
      <c r="G17" s="21"/>
      <c r="H17" s="21"/>
      <c r="I17" s="21"/>
      <c r="J17" s="22"/>
      <c r="K17" s="21"/>
      <c r="L17" s="22"/>
      <c r="M17" s="2"/>
      <c r="N17" s="21"/>
      <c r="Q17" s="20"/>
      <c r="R17" s="20"/>
      <c r="S17" s="21"/>
      <c r="T17" s="23"/>
      <c r="U17" s="27"/>
      <c r="V17" s="25"/>
      <c r="W17" s="23"/>
      <c r="X17" s="21"/>
      <c r="Y17" s="21"/>
      <c r="Z17" s="26"/>
      <c r="AA17" s="21"/>
      <c r="AB17" s="26"/>
      <c r="AC17" s="21"/>
      <c r="AF17" s="20"/>
      <c r="AG17" s="20"/>
      <c r="AH17" s="2"/>
      <c r="AI17" s="2"/>
      <c r="AJ17" s="2"/>
      <c r="AK17" s="21"/>
      <c r="AL17" s="22"/>
      <c r="AM17" s="21"/>
      <c r="AN17" s="21"/>
      <c r="AO17" s="26"/>
      <c r="AP17" s="21"/>
      <c r="AQ17" s="22"/>
    </row>
    <row r="18" spans="2:43" x14ac:dyDescent="0.35">
      <c r="B18" s="20"/>
      <c r="C18" s="20"/>
      <c r="D18" s="20"/>
      <c r="E18" s="20"/>
      <c r="F18" s="20"/>
      <c r="G18" s="21"/>
      <c r="H18" s="21"/>
      <c r="I18" s="21"/>
      <c r="J18" s="22"/>
      <c r="K18" s="21"/>
      <c r="L18" s="22"/>
      <c r="M18" s="2"/>
      <c r="N18" s="21"/>
      <c r="Q18" s="20"/>
      <c r="R18" s="20"/>
      <c r="S18" s="21"/>
      <c r="T18" s="23"/>
      <c r="U18" s="27"/>
      <c r="V18" s="25"/>
      <c r="W18" s="23"/>
      <c r="X18" s="21"/>
      <c r="Y18" s="21"/>
      <c r="Z18" s="26"/>
      <c r="AA18" s="21"/>
      <c r="AB18" s="26"/>
      <c r="AC18" s="21"/>
      <c r="AF18" s="20"/>
      <c r="AG18" s="20"/>
      <c r="AH18" s="2"/>
      <c r="AI18" s="2"/>
      <c r="AJ18" s="2"/>
      <c r="AK18" s="21"/>
      <c r="AL18" s="22"/>
      <c r="AM18" s="21"/>
      <c r="AN18" s="21"/>
      <c r="AO18" s="26"/>
      <c r="AP18" s="21"/>
      <c r="AQ18" s="22"/>
    </row>
    <row r="19" spans="2:43" x14ac:dyDescent="0.35">
      <c r="B19" s="20"/>
      <c r="C19" s="20"/>
      <c r="D19" s="20"/>
      <c r="E19" s="20"/>
      <c r="F19" s="20"/>
      <c r="G19" s="21"/>
      <c r="H19" s="21"/>
      <c r="I19" s="21"/>
      <c r="J19" s="22"/>
      <c r="K19" s="21"/>
      <c r="L19" s="22"/>
      <c r="M19" s="2"/>
      <c r="N19" s="21"/>
      <c r="Q19" s="20"/>
      <c r="R19" s="20"/>
      <c r="S19" s="21"/>
      <c r="T19" s="23"/>
      <c r="U19" s="24"/>
      <c r="V19" s="25"/>
      <c r="W19" s="23"/>
      <c r="X19" s="21"/>
      <c r="Y19" s="21"/>
      <c r="Z19" s="26"/>
      <c r="AA19" s="21"/>
      <c r="AB19" s="26"/>
      <c r="AC19" s="21"/>
      <c r="AF19" s="20"/>
      <c r="AG19" s="20"/>
      <c r="AH19" s="2"/>
      <c r="AI19" s="2"/>
      <c r="AJ19" s="2"/>
      <c r="AK19" s="21"/>
      <c r="AL19" s="22"/>
      <c r="AM19" s="21"/>
      <c r="AN19" s="21"/>
      <c r="AO19" s="26"/>
      <c r="AP19" s="21"/>
      <c r="AQ19" s="22"/>
    </row>
    <row r="20" spans="2:43" x14ac:dyDescent="0.35">
      <c r="B20" s="20"/>
      <c r="C20" s="20"/>
      <c r="D20" s="20"/>
      <c r="E20" s="20"/>
      <c r="F20" s="20"/>
      <c r="G20" s="21"/>
      <c r="H20" s="21"/>
      <c r="I20" s="21"/>
      <c r="J20" s="22"/>
      <c r="K20" s="21"/>
      <c r="L20" s="22"/>
      <c r="M20" s="2"/>
      <c r="N20" s="21"/>
      <c r="Q20" s="20"/>
      <c r="R20" s="20"/>
      <c r="S20" s="21"/>
      <c r="T20" s="23"/>
      <c r="U20" s="24"/>
      <c r="V20" s="25"/>
      <c r="W20" s="23"/>
      <c r="X20" s="21"/>
      <c r="Y20" s="21"/>
      <c r="Z20" s="26"/>
      <c r="AA20" s="21"/>
      <c r="AB20" s="26"/>
      <c r="AC20" s="21"/>
      <c r="AF20" s="20"/>
      <c r="AG20" s="20"/>
      <c r="AH20" s="2"/>
      <c r="AI20" s="2"/>
      <c r="AJ20" s="2"/>
      <c r="AK20" s="21"/>
      <c r="AL20" s="22"/>
      <c r="AM20" s="21"/>
      <c r="AN20" s="21"/>
      <c r="AO20" s="26"/>
      <c r="AP20" s="21"/>
      <c r="AQ20" s="22"/>
    </row>
    <row r="21" spans="2:43" x14ac:dyDescent="0.35">
      <c r="B21" s="20"/>
      <c r="C21" s="20"/>
      <c r="D21" s="20"/>
      <c r="E21" s="20"/>
      <c r="F21" s="20"/>
      <c r="G21" s="118"/>
      <c r="H21" s="21"/>
      <c r="I21" s="21"/>
      <c r="J21" s="22"/>
      <c r="K21" s="21"/>
      <c r="L21" s="22"/>
      <c r="M21" s="2"/>
      <c r="N21" s="21"/>
      <c r="Q21" s="20"/>
      <c r="R21" s="20"/>
      <c r="S21" s="21"/>
      <c r="T21" s="23"/>
      <c r="U21" s="24"/>
      <c r="V21" s="25"/>
      <c r="W21" s="23"/>
      <c r="X21" s="21"/>
      <c r="Y21" s="21"/>
      <c r="Z21" s="26"/>
      <c r="AA21" s="21"/>
      <c r="AB21" s="26"/>
      <c r="AC21" s="21"/>
      <c r="AF21" s="20"/>
      <c r="AG21" s="20"/>
      <c r="AH21" s="2"/>
      <c r="AI21" s="2"/>
      <c r="AJ21" s="2"/>
      <c r="AK21" s="21"/>
      <c r="AL21" s="22"/>
      <c r="AM21" s="21"/>
      <c r="AN21" s="21"/>
      <c r="AO21" s="26"/>
      <c r="AP21" s="21"/>
      <c r="AQ21" s="22"/>
    </row>
    <row r="22" spans="2:43" x14ac:dyDescent="0.35">
      <c r="B22" s="20"/>
      <c r="C22" s="20"/>
      <c r="D22" s="20"/>
      <c r="E22" s="20"/>
      <c r="F22" s="20"/>
      <c r="G22" s="21"/>
      <c r="H22" s="21"/>
      <c r="I22" s="21"/>
      <c r="J22" s="22"/>
      <c r="K22" s="21"/>
      <c r="L22" s="22"/>
      <c r="M22" s="2"/>
      <c r="N22" s="21"/>
      <c r="Q22" s="20"/>
      <c r="R22" s="20"/>
      <c r="S22" s="21"/>
      <c r="T22" s="23"/>
      <c r="U22" s="24"/>
      <c r="V22" s="25"/>
      <c r="W22" s="23"/>
      <c r="X22" s="21"/>
      <c r="Y22" s="21"/>
      <c r="Z22" s="26"/>
      <c r="AA22" s="21"/>
      <c r="AB22" s="26"/>
      <c r="AC22" s="21"/>
      <c r="AF22" s="20"/>
      <c r="AG22" s="20"/>
      <c r="AH22" s="2"/>
      <c r="AI22" s="2"/>
      <c r="AJ22" s="2"/>
      <c r="AK22" s="21"/>
      <c r="AL22" s="22"/>
      <c r="AM22" s="21"/>
      <c r="AN22" s="21"/>
      <c r="AO22" s="26"/>
      <c r="AP22" s="21"/>
      <c r="AQ22" s="22"/>
    </row>
    <row r="23" spans="2:43" x14ac:dyDescent="0.35">
      <c r="B23" s="20"/>
      <c r="C23" s="20"/>
      <c r="D23" s="20"/>
      <c r="E23" s="20"/>
      <c r="F23" s="20"/>
      <c r="G23" s="21"/>
      <c r="H23" s="21"/>
      <c r="I23" s="21"/>
      <c r="J23" s="22"/>
      <c r="K23" s="21"/>
      <c r="L23" s="22"/>
      <c r="M23" s="2"/>
      <c r="N23" s="21"/>
      <c r="Q23" s="20"/>
      <c r="R23" s="20"/>
      <c r="S23" s="21"/>
      <c r="T23" s="23"/>
      <c r="U23" s="24"/>
      <c r="V23" s="25"/>
      <c r="W23" s="23"/>
      <c r="X23" s="21"/>
      <c r="Y23" s="21"/>
      <c r="Z23" s="26"/>
      <c r="AA23" s="21"/>
      <c r="AB23" s="26"/>
      <c r="AC23" s="21"/>
      <c r="AF23" s="20"/>
      <c r="AG23" s="20"/>
      <c r="AH23" s="2"/>
      <c r="AI23" s="2"/>
      <c r="AJ23" s="2"/>
      <c r="AK23" s="21"/>
      <c r="AL23" s="22"/>
      <c r="AM23" s="21"/>
      <c r="AN23" s="21"/>
      <c r="AO23" s="26"/>
      <c r="AP23" s="21"/>
      <c r="AQ23" s="22"/>
    </row>
    <row r="24" spans="2:43" x14ac:dyDescent="0.35">
      <c r="B24" s="20"/>
      <c r="C24" s="20"/>
      <c r="D24" s="20"/>
      <c r="E24" s="20"/>
      <c r="F24" s="20"/>
      <c r="G24" s="21"/>
      <c r="H24" s="21"/>
      <c r="I24" s="21"/>
      <c r="J24" s="22"/>
      <c r="K24" s="21"/>
      <c r="L24" s="22"/>
      <c r="M24" s="2"/>
      <c r="N24" s="21"/>
      <c r="Q24" s="20"/>
      <c r="R24" s="20"/>
      <c r="S24" s="21"/>
      <c r="T24" s="23"/>
      <c r="U24" s="24"/>
      <c r="V24" s="25"/>
      <c r="W24" s="23"/>
      <c r="X24" s="21"/>
      <c r="Y24" s="21"/>
      <c r="Z24" s="26"/>
      <c r="AA24" s="21"/>
      <c r="AB24" s="26"/>
      <c r="AC24" s="21"/>
      <c r="AF24" s="20"/>
      <c r="AG24" s="20"/>
      <c r="AH24" s="2"/>
      <c r="AI24" s="2"/>
      <c r="AJ24" s="2"/>
      <c r="AK24" s="21"/>
      <c r="AL24" s="22"/>
      <c r="AM24" s="21"/>
      <c r="AN24" s="21"/>
      <c r="AO24" s="26"/>
      <c r="AP24" s="21"/>
      <c r="AQ24" s="22"/>
    </row>
    <row r="25" spans="2:43" x14ac:dyDescent="0.35">
      <c r="B25" s="20"/>
      <c r="C25" s="20"/>
      <c r="D25" s="20"/>
      <c r="E25" s="20"/>
      <c r="F25" s="20"/>
      <c r="G25" s="21"/>
      <c r="H25" s="21"/>
      <c r="I25" s="21"/>
      <c r="J25" s="22"/>
      <c r="K25" s="21"/>
      <c r="L25" s="22"/>
      <c r="M25" s="2"/>
      <c r="N25" s="21"/>
      <c r="Q25" s="20"/>
      <c r="R25" s="20"/>
      <c r="S25" s="21"/>
      <c r="T25" s="23"/>
      <c r="U25" s="24"/>
      <c r="V25" s="25"/>
      <c r="W25" s="23"/>
      <c r="X25" s="21"/>
      <c r="Y25" s="21"/>
      <c r="Z25" s="26"/>
      <c r="AA25" s="21"/>
      <c r="AB25" s="26"/>
      <c r="AC25" s="21"/>
      <c r="AF25" s="20"/>
      <c r="AG25" s="20"/>
      <c r="AH25" s="2"/>
      <c r="AI25" s="2"/>
      <c r="AJ25" s="2"/>
      <c r="AK25" s="21"/>
      <c r="AL25" s="22"/>
      <c r="AM25" s="21"/>
      <c r="AN25" s="21"/>
      <c r="AO25" s="26"/>
      <c r="AP25" s="21"/>
      <c r="AQ25" s="22"/>
    </row>
    <row r="26" spans="2:43" x14ac:dyDescent="0.35">
      <c r="B26" s="20"/>
      <c r="C26" s="20"/>
      <c r="D26" s="20"/>
      <c r="E26" s="20"/>
      <c r="F26" s="20"/>
      <c r="G26" s="21"/>
      <c r="H26" s="21"/>
      <c r="I26" s="21"/>
      <c r="J26" s="22"/>
      <c r="K26" s="21"/>
      <c r="L26" s="22"/>
      <c r="M26" s="2"/>
      <c r="N26" s="21"/>
      <c r="Q26" s="20"/>
      <c r="R26" s="20"/>
      <c r="S26" s="21"/>
      <c r="T26" s="23"/>
      <c r="U26" s="24"/>
      <c r="V26" s="25"/>
      <c r="W26" s="23"/>
      <c r="X26" s="21"/>
      <c r="Y26" s="21"/>
      <c r="Z26" s="26"/>
      <c r="AA26" s="21"/>
      <c r="AB26" s="26"/>
      <c r="AC26" s="21"/>
      <c r="AF26" s="20"/>
      <c r="AG26" s="20"/>
      <c r="AH26" s="2"/>
      <c r="AI26" s="2"/>
      <c r="AJ26" s="2"/>
      <c r="AK26" s="21"/>
      <c r="AL26" s="22"/>
      <c r="AM26" s="21"/>
      <c r="AN26" s="21"/>
      <c r="AO26" s="26"/>
      <c r="AP26" s="21"/>
      <c r="AQ26" s="22"/>
    </row>
    <row r="27" spans="2:43" x14ac:dyDescent="0.35">
      <c r="B27" s="20"/>
      <c r="C27" s="20"/>
      <c r="D27" s="20"/>
      <c r="E27" s="20"/>
      <c r="F27" s="20"/>
      <c r="G27" s="21"/>
      <c r="H27" s="21"/>
      <c r="I27" s="21"/>
      <c r="J27" s="22"/>
      <c r="K27" s="21"/>
      <c r="L27" s="22"/>
      <c r="M27" s="2"/>
      <c r="N27" s="21"/>
      <c r="Q27" s="20"/>
      <c r="R27" s="20"/>
      <c r="S27" s="21"/>
      <c r="T27" s="23"/>
      <c r="U27" s="24"/>
      <c r="V27" s="25"/>
      <c r="W27" s="23"/>
      <c r="X27" s="21"/>
      <c r="Y27" s="21"/>
      <c r="Z27" s="26"/>
      <c r="AA27" s="21"/>
      <c r="AB27" s="26"/>
      <c r="AC27" s="21"/>
      <c r="AF27" s="20"/>
      <c r="AG27" s="20"/>
      <c r="AH27" s="2"/>
      <c r="AI27" s="2"/>
      <c r="AJ27" s="2"/>
      <c r="AK27" s="21"/>
      <c r="AL27" s="22"/>
      <c r="AM27" s="21"/>
      <c r="AN27" s="21"/>
      <c r="AO27" s="26"/>
      <c r="AP27" s="21"/>
      <c r="AQ27" s="22"/>
    </row>
    <row r="28" spans="2:43" x14ac:dyDescent="0.35">
      <c r="B28" s="20"/>
      <c r="C28" s="20"/>
      <c r="D28" s="20"/>
      <c r="E28" s="20"/>
      <c r="F28" s="20"/>
      <c r="G28" s="21"/>
      <c r="H28" s="21"/>
      <c r="I28" s="21"/>
      <c r="J28" s="22"/>
      <c r="K28" s="21"/>
      <c r="L28" s="22"/>
      <c r="M28" s="2"/>
      <c r="N28" s="21"/>
      <c r="Q28" s="20"/>
      <c r="R28" s="20"/>
      <c r="S28" s="21"/>
      <c r="T28" s="23"/>
      <c r="U28" s="24"/>
      <c r="V28" s="25"/>
      <c r="W28" s="23"/>
      <c r="X28" s="21"/>
      <c r="Y28" s="21"/>
      <c r="Z28" s="26"/>
      <c r="AA28" s="21"/>
      <c r="AB28" s="26"/>
      <c r="AC28" s="21"/>
      <c r="AF28" s="20"/>
      <c r="AG28" s="20"/>
      <c r="AH28" s="2"/>
      <c r="AI28" s="2"/>
      <c r="AJ28" s="2"/>
      <c r="AK28" s="21"/>
      <c r="AL28" s="22"/>
      <c r="AM28" s="21"/>
      <c r="AN28" s="21"/>
      <c r="AO28" s="26"/>
      <c r="AP28" s="21"/>
      <c r="AQ28" s="22"/>
    </row>
    <row r="29" spans="2:43" x14ac:dyDescent="0.35">
      <c r="B29" s="172"/>
      <c r="C29" s="172"/>
      <c r="D29" s="172"/>
      <c r="E29" s="172"/>
      <c r="F29" s="172"/>
      <c r="G29" s="173"/>
      <c r="H29" s="173"/>
      <c r="I29" s="173"/>
      <c r="J29" s="174"/>
      <c r="K29" s="173"/>
      <c r="L29" s="174"/>
      <c r="M29" s="175"/>
      <c r="N29" s="173"/>
      <c r="O29" s="103"/>
      <c r="P29" s="103"/>
      <c r="Q29" s="172"/>
      <c r="R29" s="172"/>
      <c r="S29" s="173"/>
      <c r="T29" s="176"/>
      <c r="U29" s="177"/>
      <c r="V29" s="25"/>
      <c r="W29" s="23"/>
      <c r="X29" s="21"/>
      <c r="Y29" s="21"/>
      <c r="Z29" s="26"/>
      <c r="AA29" s="21"/>
      <c r="AB29" s="26"/>
      <c r="AC29" s="21"/>
      <c r="AF29" s="20"/>
      <c r="AG29" s="20"/>
      <c r="AH29" s="2"/>
      <c r="AI29" s="2"/>
      <c r="AJ29" s="2"/>
      <c r="AK29" s="21"/>
      <c r="AL29" s="22"/>
      <c r="AM29" s="21"/>
      <c r="AN29" s="21"/>
      <c r="AO29" s="26"/>
      <c r="AP29" s="21"/>
      <c r="AQ29" s="22"/>
    </row>
    <row r="30" spans="2:43" x14ac:dyDescent="0.35">
      <c r="B30" s="172"/>
      <c r="C30" s="172"/>
      <c r="D30" s="172"/>
      <c r="E30" s="172"/>
      <c r="F30" s="172"/>
      <c r="G30" s="173"/>
      <c r="H30" s="173"/>
      <c r="I30" s="173"/>
      <c r="J30" s="174"/>
      <c r="K30" s="173"/>
      <c r="L30" s="174"/>
      <c r="M30" s="175"/>
      <c r="N30" s="173"/>
      <c r="O30" s="103"/>
      <c r="P30" s="103"/>
      <c r="Q30" s="172"/>
      <c r="R30" s="172"/>
      <c r="S30" s="173"/>
      <c r="T30" s="176"/>
      <c r="U30" s="177"/>
      <c r="V30" s="25"/>
      <c r="W30" s="23"/>
      <c r="X30" s="21"/>
      <c r="Y30" s="21"/>
      <c r="Z30" s="26"/>
      <c r="AA30" s="21"/>
      <c r="AB30" s="26"/>
      <c r="AC30" s="21"/>
      <c r="AF30" s="20"/>
      <c r="AG30" s="20"/>
      <c r="AH30" s="2"/>
      <c r="AI30" s="2"/>
      <c r="AJ30" s="2"/>
      <c r="AK30" s="21"/>
      <c r="AL30" s="22"/>
      <c r="AM30" s="21"/>
      <c r="AN30" s="21"/>
      <c r="AO30" s="26"/>
      <c r="AP30" s="21"/>
      <c r="AQ30" s="22"/>
    </row>
    <row r="31" spans="2:43" s="31" customFormat="1" x14ac:dyDescent="0.35">
      <c r="B31" s="178" t="s">
        <v>0</v>
      </c>
      <c r="C31" s="178"/>
      <c r="D31" s="178"/>
      <c r="E31" s="178"/>
      <c r="F31" s="178"/>
      <c r="G31" s="179">
        <f>SUM(G10:G15)</f>
        <v>200000</v>
      </c>
      <c r="H31" s="180">
        <f>I31/G31</f>
        <v>0.95187500000000014</v>
      </c>
      <c r="I31" s="179">
        <f>SUM(I10:I15)</f>
        <v>190375.00000000003</v>
      </c>
      <c r="J31" s="181">
        <f>SUMPRODUCT(J10:J15,$I$10:$I$15)/$I$31</f>
        <v>0.66666666666666663</v>
      </c>
      <c r="K31" s="181">
        <f>SUMPRODUCT(K10:K15,$I$10:$I$15,$J$10:$J$15)/($I$31*J31)</f>
        <v>0.13999999999999999</v>
      </c>
      <c r="L31" s="180">
        <f>N31/(I31*J31)</f>
        <v>0.95806601385215462</v>
      </c>
      <c r="M31" s="180"/>
      <c r="N31" s="179">
        <f>SUM(N10:N15)</f>
        <v>121594.54492473598</v>
      </c>
      <c r="O31" s="130"/>
      <c r="P31" s="130"/>
      <c r="Q31" s="178" t="s">
        <v>0</v>
      </c>
      <c r="R31" s="178"/>
      <c r="S31" s="179">
        <f>SUM(S10:S15)</f>
        <v>17023.236289463042</v>
      </c>
      <c r="T31" s="179">
        <f>SUM(T10:T15)</f>
        <v>138617.78121419903</v>
      </c>
      <c r="U31" s="181">
        <f>V31/T31</f>
        <v>0.1</v>
      </c>
      <c r="V31" s="29">
        <f>SUM(V10:V15)</f>
        <v>13861.778121419904</v>
      </c>
      <c r="W31" s="30">
        <f>Z31/I31</f>
        <v>3.7918581746552847E-2</v>
      </c>
      <c r="X31" s="29">
        <f>SUM(X10:X15)</f>
        <v>22500</v>
      </c>
      <c r="Y31" s="29"/>
      <c r="Z31" s="29">
        <f>SUM(Z10:Z15)</f>
        <v>7218.75</v>
      </c>
      <c r="AA31" s="29">
        <f>SUM(AA10:AA15)</f>
        <v>21698.4375</v>
      </c>
      <c r="AB31" s="30"/>
      <c r="AC31" s="29">
        <f>SUM(AC10:AC15)</f>
        <v>13224.289684698571</v>
      </c>
      <c r="AF31" s="28" t="s">
        <v>0</v>
      </c>
      <c r="AG31" s="28"/>
      <c r="AH31" s="29">
        <f>SUM(AH10:AH17)</f>
        <v>174028.20599229657</v>
      </c>
      <c r="AI31" s="29">
        <f>SUM(AI10:AI17)</f>
        <v>-1907.1694719790594</v>
      </c>
      <c r="AJ31" s="29">
        <f>SUM(AJ10:AJ17)</f>
        <v>-7500</v>
      </c>
      <c r="AK31" s="29">
        <f>SUM(AK10:AK15)</f>
        <v>-5592.8305280209406</v>
      </c>
      <c r="AL31" s="29">
        <f>SUM(AL10:AL15)</f>
        <v>16435.183629982203</v>
      </c>
      <c r="AM31" s="29"/>
      <c r="AN31" s="29"/>
      <c r="AO31" s="29"/>
      <c r="AP31" s="29"/>
      <c r="AQ31" s="29"/>
    </row>
    <row r="32" spans="2:43" x14ac:dyDescent="0.35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U32" s="103"/>
    </row>
    <row r="33" spans="2:32" x14ac:dyDescent="0.35">
      <c r="B33" s="164" t="s">
        <v>28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64" t="s">
        <v>19</v>
      </c>
      <c r="R33" s="103"/>
      <c r="U33" s="103"/>
      <c r="AF33" s="104" t="s">
        <v>9</v>
      </c>
    </row>
    <row r="34" spans="2:32" x14ac:dyDescent="0.35">
      <c r="B34" s="164" t="s">
        <v>83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64" t="s">
        <v>6</v>
      </c>
      <c r="R34" s="103"/>
      <c r="U34" s="103"/>
      <c r="AF34" s="104" t="s">
        <v>10</v>
      </c>
    </row>
    <row r="35" spans="2:32" x14ac:dyDescent="0.35">
      <c r="B35" s="164" t="s">
        <v>45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 t="s">
        <v>121</v>
      </c>
      <c r="R35" s="103"/>
      <c r="U35" s="103"/>
      <c r="AF35" s="104" t="s">
        <v>14</v>
      </c>
    </row>
    <row r="36" spans="2:32" x14ac:dyDescent="0.35">
      <c r="B36" s="164" t="s">
        <v>105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64" t="s">
        <v>141</v>
      </c>
      <c r="R36" s="103"/>
      <c r="U36" s="103"/>
      <c r="AF36" s="104" t="s">
        <v>11</v>
      </c>
    </row>
    <row r="37" spans="2:32" x14ac:dyDescent="0.35">
      <c r="B37" s="164" t="s">
        <v>49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82" t="s">
        <v>122</v>
      </c>
      <c r="R37" s="103"/>
      <c r="U37" s="103"/>
      <c r="AF37" s="104" t="s">
        <v>12</v>
      </c>
    </row>
    <row r="38" spans="2:32" x14ac:dyDescent="0.35">
      <c r="B38" s="164" t="s">
        <v>4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64" t="s">
        <v>125</v>
      </c>
      <c r="R38" s="103"/>
      <c r="U38" s="103"/>
      <c r="AF38" s="104" t="s">
        <v>13</v>
      </c>
    </row>
    <row r="39" spans="2:32" x14ac:dyDescent="0.35">
      <c r="B39" s="164" t="s">
        <v>53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64" t="s">
        <v>123</v>
      </c>
      <c r="R39" s="103"/>
      <c r="U39" s="103"/>
    </row>
    <row r="40" spans="2:32" x14ac:dyDescent="0.35">
      <c r="B40" s="164" t="s">
        <v>50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64" t="s">
        <v>84</v>
      </c>
      <c r="R40" s="103"/>
      <c r="U40" s="103"/>
    </row>
    <row r="41" spans="2:32" x14ac:dyDescent="0.35">
      <c r="B41" s="164" t="s">
        <v>74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 t="s">
        <v>7</v>
      </c>
      <c r="R41" s="103"/>
      <c r="U41" s="103"/>
    </row>
    <row r="42" spans="2:32" x14ac:dyDescent="0.35">
      <c r="B42" s="164" t="s">
        <v>75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64" t="s">
        <v>124</v>
      </c>
      <c r="R42" s="103"/>
      <c r="U42" s="103"/>
    </row>
    <row r="43" spans="2:32" x14ac:dyDescent="0.35">
      <c r="B43" s="164" t="s">
        <v>5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64" t="s">
        <v>8</v>
      </c>
      <c r="R43" s="103"/>
      <c r="U43" s="103"/>
    </row>
    <row r="44" spans="2:32" x14ac:dyDescent="0.35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U44" s="103"/>
    </row>
    <row r="45" spans="2:32" x14ac:dyDescent="0.35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U45" s="103"/>
    </row>
    <row r="46" spans="2:32" x14ac:dyDescent="0.35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U46" s="103"/>
    </row>
    <row r="47" spans="2:32" x14ac:dyDescent="0.35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U47" s="103"/>
    </row>
    <row r="48" spans="2:32" x14ac:dyDescent="0.35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U48" s="103"/>
    </row>
    <row r="49" spans="2:21" x14ac:dyDescent="0.35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U49" s="103"/>
    </row>
  </sheetData>
  <pageMargins left="0.7" right="0.7" top="0.75" bottom="0.75" header="0.3" footer="0.3"/>
  <pageSetup scale="53" orientation="portrait" r:id="rId1"/>
  <colBreaks count="1" manualBreakCount="1">
    <brk id="16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023B-736F-4E0B-A1FB-1B76203AA14E}">
  <dimension ref="B1:Z88"/>
  <sheetViews>
    <sheetView showGridLines="0" zoomScale="90" zoomScaleNormal="90" workbookViewId="0"/>
  </sheetViews>
  <sheetFormatPr defaultColWidth="11.453125" defaultRowHeight="14.5" x14ac:dyDescent="0.35"/>
  <cols>
    <col min="1" max="1" width="3.54296875" style="53" customWidth="1"/>
    <col min="2" max="2" width="12.54296875" style="51" customWidth="1"/>
    <col min="3" max="3" width="12.54296875" style="52" customWidth="1"/>
    <col min="4" max="4" width="14.453125" style="52" customWidth="1"/>
    <col min="5" max="10" width="12.54296875" style="52" customWidth="1"/>
    <col min="11" max="13" width="3.54296875" style="53" customWidth="1"/>
    <col min="14" max="14" width="12.54296875" style="51" customWidth="1"/>
    <col min="15" max="22" width="12.54296875" style="52" customWidth="1"/>
    <col min="23" max="24" width="3.54296875" style="53" customWidth="1"/>
    <col min="25" max="228" width="11.453125" style="53"/>
    <col min="229" max="229" width="8.54296875" style="53" customWidth="1"/>
    <col min="230" max="230" width="13.453125" style="53" customWidth="1"/>
    <col min="231" max="231" width="12.453125" style="53" customWidth="1"/>
    <col min="232" max="232" width="13.54296875" style="53" customWidth="1"/>
    <col min="233" max="236" width="11.54296875" style="53" customWidth="1"/>
    <col min="237" max="237" width="12.81640625" style="53" customWidth="1"/>
    <col min="238" max="238" width="11.54296875" style="53" customWidth="1"/>
    <col min="239" max="239" width="5.453125" style="53" customWidth="1"/>
    <col min="240" max="484" width="11.453125" style="53"/>
    <col min="485" max="485" width="8.54296875" style="53" customWidth="1"/>
    <col min="486" max="486" width="13.453125" style="53" customWidth="1"/>
    <col min="487" max="487" width="12.453125" style="53" customWidth="1"/>
    <col min="488" max="488" width="13.54296875" style="53" customWidth="1"/>
    <col min="489" max="492" width="11.54296875" style="53" customWidth="1"/>
    <col min="493" max="493" width="12.81640625" style="53" customWidth="1"/>
    <col min="494" max="494" width="11.54296875" style="53" customWidth="1"/>
    <col min="495" max="495" width="5.453125" style="53" customWidth="1"/>
    <col min="496" max="740" width="11.453125" style="53"/>
    <col min="741" max="741" width="8.54296875" style="53" customWidth="1"/>
    <col min="742" max="742" width="13.453125" style="53" customWidth="1"/>
    <col min="743" max="743" width="12.453125" style="53" customWidth="1"/>
    <col min="744" max="744" width="13.54296875" style="53" customWidth="1"/>
    <col min="745" max="748" width="11.54296875" style="53" customWidth="1"/>
    <col min="749" max="749" width="12.81640625" style="53" customWidth="1"/>
    <col min="750" max="750" width="11.54296875" style="53" customWidth="1"/>
    <col min="751" max="751" width="5.453125" style="53" customWidth="1"/>
    <col min="752" max="996" width="11.453125" style="53"/>
    <col min="997" max="997" width="8.54296875" style="53" customWidth="1"/>
    <col min="998" max="998" width="13.453125" style="53" customWidth="1"/>
    <col min="999" max="999" width="12.453125" style="53" customWidth="1"/>
    <col min="1000" max="1000" width="13.54296875" style="53" customWidth="1"/>
    <col min="1001" max="1004" width="11.54296875" style="53" customWidth="1"/>
    <col min="1005" max="1005" width="12.81640625" style="53" customWidth="1"/>
    <col min="1006" max="1006" width="11.54296875" style="53" customWidth="1"/>
    <col min="1007" max="1007" width="5.453125" style="53" customWidth="1"/>
    <col min="1008" max="1252" width="11.453125" style="53"/>
    <col min="1253" max="1253" width="8.54296875" style="53" customWidth="1"/>
    <col min="1254" max="1254" width="13.453125" style="53" customWidth="1"/>
    <col min="1255" max="1255" width="12.453125" style="53" customWidth="1"/>
    <col min="1256" max="1256" width="13.54296875" style="53" customWidth="1"/>
    <col min="1257" max="1260" width="11.54296875" style="53" customWidth="1"/>
    <col min="1261" max="1261" width="12.81640625" style="53" customWidth="1"/>
    <col min="1262" max="1262" width="11.54296875" style="53" customWidth="1"/>
    <col min="1263" max="1263" width="5.453125" style="53" customWidth="1"/>
    <col min="1264" max="1508" width="11.453125" style="53"/>
    <col min="1509" max="1509" width="8.54296875" style="53" customWidth="1"/>
    <col min="1510" max="1510" width="13.453125" style="53" customWidth="1"/>
    <col min="1511" max="1511" width="12.453125" style="53" customWidth="1"/>
    <col min="1512" max="1512" width="13.54296875" style="53" customWidth="1"/>
    <col min="1513" max="1516" width="11.54296875" style="53" customWidth="1"/>
    <col min="1517" max="1517" width="12.81640625" style="53" customWidth="1"/>
    <col min="1518" max="1518" width="11.54296875" style="53" customWidth="1"/>
    <col min="1519" max="1519" width="5.453125" style="53" customWidth="1"/>
    <col min="1520" max="1764" width="11.453125" style="53"/>
    <col min="1765" max="1765" width="8.54296875" style="53" customWidth="1"/>
    <col min="1766" max="1766" width="13.453125" style="53" customWidth="1"/>
    <col min="1767" max="1767" width="12.453125" style="53" customWidth="1"/>
    <col min="1768" max="1768" width="13.54296875" style="53" customWidth="1"/>
    <col min="1769" max="1772" width="11.54296875" style="53" customWidth="1"/>
    <col min="1773" max="1773" width="12.81640625" style="53" customWidth="1"/>
    <col min="1774" max="1774" width="11.54296875" style="53" customWidth="1"/>
    <col min="1775" max="1775" width="5.453125" style="53" customWidth="1"/>
    <col min="1776" max="2020" width="11.453125" style="53"/>
    <col min="2021" max="2021" width="8.54296875" style="53" customWidth="1"/>
    <col min="2022" max="2022" width="13.453125" style="53" customWidth="1"/>
    <col min="2023" max="2023" width="12.453125" style="53" customWidth="1"/>
    <col min="2024" max="2024" width="13.54296875" style="53" customWidth="1"/>
    <col min="2025" max="2028" width="11.54296875" style="53" customWidth="1"/>
    <col min="2029" max="2029" width="12.81640625" style="53" customWidth="1"/>
    <col min="2030" max="2030" width="11.54296875" style="53" customWidth="1"/>
    <col min="2031" max="2031" width="5.453125" style="53" customWidth="1"/>
    <col min="2032" max="2276" width="11.453125" style="53"/>
    <col min="2277" max="2277" width="8.54296875" style="53" customWidth="1"/>
    <col min="2278" max="2278" width="13.453125" style="53" customWidth="1"/>
    <col min="2279" max="2279" width="12.453125" style="53" customWidth="1"/>
    <col min="2280" max="2280" width="13.54296875" style="53" customWidth="1"/>
    <col min="2281" max="2284" width="11.54296875" style="53" customWidth="1"/>
    <col min="2285" max="2285" width="12.81640625" style="53" customWidth="1"/>
    <col min="2286" max="2286" width="11.54296875" style="53" customWidth="1"/>
    <col min="2287" max="2287" width="5.453125" style="53" customWidth="1"/>
    <col min="2288" max="2532" width="11.453125" style="53"/>
    <col min="2533" max="2533" width="8.54296875" style="53" customWidth="1"/>
    <col min="2534" max="2534" width="13.453125" style="53" customWidth="1"/>
    <col min="2535" max="2535" width="12.453125" style="53" customWidth="1"/>
    <col min="2536" max="2536" width="13.54296875" style="53" customWidth="1"/>
    <col min="2537" max="2540" width="11.54296875" style="53" customWidth="1"/>
    <col min="2541" max="2541" width="12.81640625" style="53" customWidth="1"/>
    <col min="2542" max="2542" width="11.54296875" style="53" customWidth="1"/>
    <col min="2543" max="2543" width="5.453125" style="53" customWidth="1"/>
    <col min="2544" max="2788" width="11.453125" style="53"/>
    <col min="2789" max="2789" width="8.54296875" style="53" customWidth="1"/>
    <col min="2790" max="2790" width="13.453125" style="53" customWidth="1"/>
    <col min="2791" max="2791" width="12.453125" style="53" customWidth="1"/>
    <col min="2792" max="2792" width="13.54296875" style="53" customWidth="1"/>
    <col min="2793" max="2796" width="11.54296875" style="53" customWidth="1"/>
    <col min="2797" max="2797" width="12.81640625" style="53" customWidth="1"/>
    <col min="2798" max="2798" width="11.54296875" style="53" customWidth="1"/>
    <col min="2799" max="2799" width="5.453125" style="53" customWidth="1"/>
    <col min="2800" max="3044" width="11.453125" style="53"/>
    <col min="3045" max="3045" width="8.54296875" style="53" customWidth="1"/>
    <col min="3046" max="3046" width="13.453125" style="53" customWidth="1"/>
    <col min="3047" max="3047" width="12.453125" style="53" customWidth="1"/>
    <col min="3048" max="3048" width="13.54296875" style="53" customWidth="1"/>
    <col min="3049" max="3052" width="11.54296875" style="53" customWidth="1"/>
    <col min="3053" max="3053" width="12.81640625" style="53" customWidth="1"/>
    <col min="3054" max="3054" width="11.54296875" style="53" customWidth="1"/>
    <col min="3055" max="3055" width="5.453125" style="53" customWidth="1"/>
    <col min="3056" max="3300" width="11.453125" style="53"/>
    <col min="3301" max="3301" width="8.54296875" style="53" customWidth="1"/>
    <col min="3302" max="3302" width="13.453125" style="53" customWidth="1"/>
    <col min="3303" max="3303" width="12.453125" style="53" customWidth="1"/>
    <col min="3304" max="3304" width="13.54296875" style="53" customWidth="1"/>
    <col min="3305" max="3308" width="11.54296875" style="53" customWidth="1"/>
    <col min="3309" max="3309" width="12.81640625" style="53" customWidth="1"/>
    <col min="3310" max="3310" width="11.54296875" style="53" customWidth="1"/>
    <col min="3311" max="3311" width="5.453125" style="53" customWidth="1"/>
    <col min="3312" max="3556" width="11.453125" style="53"/>
    <col min="3557" max="3557" width="8.54296875" style="53" customWidth="1"/>
    <col min="3558" max="3558" width="13.453125" style="53" customWidth="1"/>
    <col min="3559" max="3559" width="12.453125" style="53" customWidth="1"/>
    <col min="3560" max="3560" width="13.54296875" style="53" customWidth="1"/>
    <col min="3561" max="3564" width="11.54296875" style="53" customWidth="1"/>
    <col min="3565" max="3565" width="12.81640625" style="53" customWidth="1"/>
    <col min="3566" max="3566" width="11.54296875" style="53" customWidth="1"/>
    <col min="3567" max="3567" width="5.453125" style="53" customWidth="1"/>
    <col min="3568" max="3812" width="11.453125" style="53"/>
    <col min="3813" max="3813" width="8.54296875" style="53" customWidth="1"/>
    <col min="3814" max="3814" width="13.453125" style="53" customWidth="1"/>
    <col min="3815" max="3815" width="12.453125" style="53" customWidth="1"/>
    <col min="3816" max="3816" width="13.54296875" style="53" customWidth="1"/>
    <col min="3817" max="3820" width="11.54296875" style="53" customWidth="1"/>
    <col min="3821" max="3821" width="12.81640625" style="53" customWidth="1"/>
    <col min="3822" max="3822" width="11.54296875" style="53" customWidth="1"/>
    <col min="3823" max="3823" width="5.453125" style="53" customWidth="1"/>
    <col min="3824" max="4068" width="11.453125" style="53"/>
    <col min="4069" max="4069" width="8.54296875" style="53" customWidth="1"/>
    <col min="4070" max="4070" width="13.453125" style="53" customWidth="1"/>
    <col min="4071" max="4071" width="12.453125" style="53" customWidth="1"/>
    <col min="4072" max="4072" width="13.54296875" style="53" customWidth="1"/>
    <col min="4073" max="4076" width="11.54296875" style="53" customWidth="1"/>
    <col min="4077" max="4077" width="12.81640625" style="53" customWidth="1"/>
    <col min="4078" max="4078" width="11.54296875" style="53" customWidth="1"/>
    <col min="4079" max="4079" width="5.453125" style="53" customWidth="1"/>
    <col min="4080" max="4324" width="11.453125" style="53"/>
    <col min="4325" max="4325" width="8.54296875" style="53" customWidth="1"/>
    <col min="4326" max="4326" width="13.453125" style="53" customWidth="1"/>
    <col min="4327" max="4327" width="12.453125" style="53" customWidth="1"/>
    <col min="4328" max="4328" width="13.54296875" style="53" customWidth="1"/>
    <col min="4329" max="4332" width="11.54296875" style="53" customWidth="1"/>
    <col min="4333" max="4333" width="12.81640625" style="53" customWidth="1"/>
    <col min="4334" max="4334" width="11.54296875" style="53" customWidth="1"/>
    <col min="4335" max="4335" width="5.453125" style="53" customWidth="1"/>
    <col min="4336" max="4580" width="11.453125" style="53"/>
    <col min="4581" max="4581" width="8.54296875" style="53" customWidth="1"/>
    <col min="4582" max="4582" width="13.453125" style="53" customWidth="1"/>
    <col min="4583" max="4583" width="12.453125" style="53" customWidth="1"/>
    <col min="4584" max="4584" width="13.54296875" style="53" customWidth="1"/>
    <col min="4585" max="4588" width="11.54296875" style="53" customWidth="1"/>
    <col min="4589" max="4589" width="12.81640625" style="53" customWidth="1"/>
    <col min="4590" max="4590" width="11.54296875" style="53" customWidth="1"/>
    <col min="4591" max="4591" width="5.453125" style="53" customWidth="1"/>
    <col min="4592" max="4836" width="11.453125" style="53"/>
    <col min="4837" max="4837" width="8.54296875" style="53" customWidth="1"/>
    <col min="4838" max="4838" width="13.453125" style="53" customWidth="1"/>
    <col min="4839" max="4839" width="12.453125" style="53" customWidth="1"/>
    <col min="4840" max="4840" width="13.54296875" style="53" customWidth="1"/>
    <col min="4841" max="4844" width="11.54296875" style="53" customWidth="1"/>
    <col min="4845" max="4845" width="12.81640625" style="53" customWidth="1"/>
    <col min="4846" max="4846" width="11.54296875" style="53" customWidth="1"/>
    <col min="4847" max="4847" width="5.453125" style="53" customWidth="1"/>
    <col min="4848" max="5092" width="11.453125" style="53"/>
    <col min="5093" max="5093" width="8.54296875" style="53" customWidth="1"/>
    <col min="5094" max="5094" width="13.453125" style="53" customWidth="1"/>
    <col min="5095" max="5095" width="12.453125" style="53" customWidth="1"/>
    <col min="5096" max="5096" width="13.54296875" style="53" customWidth="1"/>
    <col min="5097" max="5100" width="11.54296875" style="53" customWidth="1"/>
    <col min="5101" max="5101" width="12.81640625" style="53" customWidth="1"/>
    <col min="5102" max="5102" width="11.54296875" style="53" customWidth="1"/>
    <col min="5103" max="5103" width="5.453125" style="53" customWidth="1"/>
    <col min="5104" max="5348" width="11.453125" style="53"/>
    <col min="5349" max="5349" width="8.54296875" style="53" customWidth="1"/>
    <col min="5350" max="5350" width="13.453125" style="53" customWidth="1"/>
    <col min="5351" max="5351" width="12.453125" style="53" customWidth="1"/>
    <col min="5352" max="5352" width="13.54296875" style="53" customWidth="1"/>
    <col min="5353" max="5356" width="11.54296875" style="53" customWidth="1"/>
    <col min="5357" max="5357" width="12.81640625" style="53" customWidth="1"/>
    <col min="5358" max="5358" width="11.54296875" style="53" customWidth="1"/>
    <col min="5359" max="5359" width="5.453125" style="53" customWidth="1"/>
    <col min="5360" max="5604" width="11.453125" style="53"/>
    <col min="5605" max="5605" width="8.54296875" style="53" customWidth="1"/>
    <col min="5606" max="5606" width="13.453125" style="53" customWidth="1"/>
    <col min="5607" max="5607" width="12.453125" style="53" customWidth="1"/>
    <col min="5608" max="5608" width="13.54296875" style="53" customWidth="1"/>
    <col min="5609" max="5612" width="11.54296875" style="53" customWidth="1"/>
    <col min="5613" max="5613" width="12.81640625" style="53" customWidth="1"/>
    <col min="5614" max="5614" width="11.54296875" style="53" customWidth="1"/>
    <col min="5615" max="5615" width="5.453125" style="53" customWidth="1"/>
    <col min="5616" max="5860" width="11.453125" style="53"/>
    <col min="5861" max="5861" width="8.54296875" style="53" customWidth="1"/>
    <col min="5862" max="5862" width="13.453125" style="53" customWidth="1"/>
    <col min="5863" max="5863" width="12.453125" style="53" customWidth="1"/>
    <col min="5864" max="5864" width="13.54296875" style="53" customWidth="1"/>
    <col min="5865" max="5868" width="11.54296875" style="53" customWidth="1"/>
    <col min="5869" max="5869" width="12.81640625" style="53" customWidth="1"/>
    <col min="5870" max="5870" width="11.54296875" style="53" customWidth="1"/>
    <col min="5871" max="5871" width="5.453125" style="53" customWidth="1"/>
    <col min="5872" max="6116" width="11.453125" style="53"/>
    <col min="6117" max="6117" width="8.54296875" style="53" customWidth="1"/>
    <col min="6118" max="6118" width="13.453125" style="53" customWidth="1"/>
    <col min="6119" max="6119" width="12.453125" style="53" customWidth="1"/>
    <col min="6120" max="6120" width="13.54296875" style="53" customWidth="1"/>
    <col min="6121" max="6124" width="11.54296875" style="53" customWidth="1"/>
    <col min="6125" max="6125" width="12.81640625" style="53" customWidth="1"/>
    <col min="6126" max="6126" width="11.54296875" style="53" customWidth="1"/>
    <col min="6127" max="6127" width="5.453125" style="53" customWidth="1"/>
    <col min="6128" max="6372" width="11.453125" style="53"/>
    <col min="6373" max="6373" width="8.54296875" style="53" customWidth="1"/>
    <col min="6374" max="6374" width="13.453125" style="53" customWidth="1"/>
    <col min="6375" max="6375" width="12.453125" style="53" customWidth="1"/>
    <col min="6376" max="6376" width="13.54296875" style="53" customWidth="1"/>
    <col min="6377" max="6380" width="11.54296875" style="53" customWidth="1"/>
    <col min="6381" max="6381" width="12.81640625" style="53" customWidth="1"/>
    <col min="6382" max="6382" width="11.54296875" style="53" customWidth="1"/>
    <col min="6383" max="6383" width="5.453125" style="53" customWidth="1"/>
    <col min="6384" max="6628" width="11.453125" style="53"/>
    <col min="6629" max="6629" width="8.54296875" style="53" customWidth="1"/>
    <col min="6630" max="6630" width="13.453125" style="53" customWidth="1"/>
    <col min="6631" max="6631" width="12.453125" style="53" customWidth="1"/>
    <col min="6632" max="6632" width="13.54296875" style="53" customWidth="1"/>
    <col min="6633" max="6636" width="11.54296875" style="53" customWidth="1"/>
    <col min="6637" max="6637" width="12.81640625" style="53" customWidth="1"/>
    <col min="6638" max="6638" width="11.54296875" style="53" customWidth="1"/>
    <col min="6639" max="6639" width="5.453125" style="53" customWidth="1"/>
    <col min="6640" max="6884" width="11.453125" style="53"/>
    <col min="6885" max="6885" width="8.54296875" style="53" customWidth="1"/>
    <col min="6886" max="6886" width="13.453125" style="53" customWidth="1"/>
    <col min="6887" max="6887" width="12.453125" style="53" customWidth="1"/>
    <col min="6888" max="6888" width="13.54296875" style="53" customWidth="1"/>
    <col min="6889" max="6892" width="11.54296875" style="53" customWidth="1"/>
    <col min="6893" max="6893" width="12.81640625" style="53" customWidth="1"/>
    <col min="6894" max="6894" width="11.54296875" style="53" customWidth="1"/>
    <col min="6895" max="6895" width="5.453125" style="53" customWidth="1"/>
    <col min="6896" max="7140" width="11.453125" style="53"/>
    <col min="7141" max="7141" width="8.54296875" style="53" customWidth="1"/>
    <col min="7142" max="7142" width="13.453125" style="53" customWidth="1"/>
    <col min="7143" max="7143" width="12.453125" style="53" customWidth="1"/>
    <col min="7144" max="7144" width="13.54296875" style="53" customWidth="1"/>
    <col min="7145" max="7148" width="11.54296875" style="53" customWidth="1"/>
    <col min="7149" max="7149" width="12.81640625" style="53" customWidth="1"/>
    <col min="7150" max="7150" width="11.54296875" style="53" customWidth="1"/>
    <col min="7151" max="7151" width="5.453125" style="53" customWidth="1"/>
    <col min="7152" max="7396" width="11.453125" style="53"/>
    <col min="7397" max="7397" width="8.54296875" style="53" customWidth="1"/>
    <col min="7398" max="7398" width="13.453125" style="53" customWidth="1"/>
    <col min="7399" max="7399" width="12.453125" style="53" customWidth="1"/>
    <col min="7400" max="7400" width="13.54296875" style="53" customWidth="1"/>
    <col min="7401" max="7404" width="11.54296875" style="53" customWidth="1"/>
    <col min="7405" max="7405" width="12.81640625" style="53" customWidth="1"/>
    <col min="7406" max="7406" width="11.54296875" style="53" customWidth="1"/>
    <col min="7407" max="7407" width="5.453125" style="53" customWidth="1"/>
    <col min="7408" max="7652" width="11.453125" style="53"/>
    <col min="7653" max="7653" width="8.54296875" style="53" customWidth="1"/>
    <col min="7654" max="7654" width="13.453125" style="53" customWidth="1"/>
    <col min="7655" max="7655" width="12.453125" style="53" customWidth="1"/>
    <col min="7656" max="7656" width="13.54296875" style="53" customWidth="1"/>
    <col min="7657" max="7660" width="11.54296875" style="53" customWidth="1"/>
    <col min="7661" max="7661" width="12.81640625" style="53" customWidth="1"/>
    <col min="7662" max="7662" width="11.54296875" style="53" customWidth="1"/>
    <col min="7663" max="7663" width="5.453125" style="53" customWidth="1"/>
    <col min="7664" max="7908" width="11.453125" style="53"/>
    <col min="7909" max="7909" width="8.54296875" style="53" customWidth="1"/>
    <col min="7910" max="7910" width="13.453125" style="53" customWidth="1"/>
    <col min="7911" max="7911" width="12.453125" style="53" customWidth="1"/>
    <col min="7912" max="7912" width="13.54296875" style="53" customWidth="1"/>
    <col min="7913" max="7916" width="11.54296875" style="53" customWidth="1"/>
    <col min="7917" max="7917" width="12.81640625" style="53" customWidth="1"/>
    <col min="7918" max="7918" width="11.54296875" style="53" customWidth="1"/>
    <col min="7919" max="7919" width="5.453125" style="53" customWidth="1"/>
    <col min="7920" max="8164" width="11.453125" style="53"/>
    <col min="8165" max="8165" width="8.54296875" style="53" customWidth="1"/>
    <col min="8166" max="8166" width="13.453125" style="53" customWidth="1"/>
    <col min="8167" max="8167" width="12.453125" style="53" customWidth="1"/>
    <col min="8168" max="8168" width="13.54296875" style="53" customWidth="1"/>
    <col min="8169" max="8172" width="11.54296875" style="53" customWidth="1"/>
    <col min="8173" max="8173" width="12.81640625" style="53" customWidth="1"/>
    <col min="8174" max="8174" width="11.54296875" style="53" customWidth="1"/>
    <col min="8175" max="8175" width="5.453125" style="53" customWidth="1"/>
    <col min="8176" max="8420" width="11.453125" style="53"/>
    <col min="8421" max="8421" width="8.54296875" style="53" customWidth="1"/>
    <col min="8422" max="8422" width="13.453125" style="53" customWidth="1"/>
    <col min="8423" max="8423" width="12.453125" style="53" customWidth="1"/>
    <col min="8424" max="8424" width="13.54296875" style="53" customWidth="1"/>
    <col min="8425" max="8428" width="11.54296875" style="53" customWidth="1"/>
    <col min="8429" max="8429" width="12.81640625" style="53" customWidth="1"/>
    <col min="8430" max="8430" width="11.54296875" style="53" customWidth="1"/>
    <col min="8431" max="8431" width="5.453125" style="53" customWidth="1"/>
    <col min="8432" max="8676" width="11.453125" style="53"/>
    <col min="8677" max="8677" width="8.54296875" style="53" customWidth="1"/>
    <col min="8678" max="8678" width="13.453125" style="53" customWidth="1"/>
    <col min="8679" max="8679" width="12.453125" style="53" customWidth="1"/>
    <col min="8680" max="8680" width="13.54296875" style="53" customWidth="1"/>
    <col min="8681" max="8684" width="11.54296875" style="53" customWidth="1"/>
    <col min="8685" max="8685" width="12.81640625" style="53" customWidth="1"/>
    <col min="8686" max="8686" width="11.54296875" style="53" customWidth="1"/>
    <col min="8687" max="8687" width="5.453125" style="53" customWidth="1"/>
    <col min="8688" max="8932" width="11.453125" style="53"/>
    <col min="8933" max="8933" width="8.54296875" style="53" customWidth="1"/>
    <col min="8934" max="8934" width="13.453125" style="53" customWidth="1"/>
    <col min="8935" max="8935" width="12.453125" style="53" customWidth="1"/>
    <col min="8936" max="8936" width="13.54296875" style="53" customWidth="1"/>
    <col min="8937" max="8940" width="11.54296875" style="53" customWidth="1"/>
    <col min="8941" max="8941" width="12.81640625" style="53" customWidth="1"/>
    <col min="8942" max="8942" width="11.54296875" style="53" customWidth="1"/>
    <col min="8943" max="8943" width="5.453125" style="53" customWidth="1"/>
    <col min="8944" max="9188" width="11.453125" style="53"/>
    <col min="9189" max="9189" width="8.54296875" style="53" customWidth="1"/>
    <col min="9190" max="9190" width="13.453125" style="53" customWidth="1"/>
    <col min="9191" max="9191" width="12.453125" style="53" customWidth="1"/>
    <col min="9192" max="9192" width="13.54296875" style="53" customWidth="1"/>
    <col min="9193" max="9196" width="11.54296875" style="53" customWidth="1"/>
    <col min="9197" max="9197" width="12.81640625" style="53" customWidth="1"/>
    <col min="9198" max="9198" width="11.54296875" style="53" customWidth="1"/>
    <col min="9199" max="9199" width="5.453125" style="53" customWidth="1"/>
    <col min="9200" max="9444" width="11.453125" style="53"/>
    <col min="9445" max="9445" width="8.54296875" style="53" customWidth="1"/>
    <col min="9446" max="9446" width="13.453125" style="53" customWidth="1"/>
    <col min="9447" max="9447" width="12.453125" style="53" customWidth="1"/>
    <col min="9448" max="9448" width="13.54296875" style="53" customWidth="1"/>
    <col min="9449" max="9452" width="11.54296875" style="53" customWidth="1"/>
    <col min="9453" max="9453" width="12.81640625" style="53" customWidth="1"/>
    <col min="9454" max="9454" width="11.54296875" style="53" customWidth="1"/>
    <col min="9455" max="9455" width="5.453125" style="53" customWidth="1"/>
    <col min="9456" max="9700" width="11.453125" style="53"/>
    <col min="9701" max="9701" width="8.54296875" style="53" customWidth="1"/>
    <col min="9702" max="9702" width="13.453125" style="53" customWidth="1"/>
    <col min="9703" max="9703" width="12.453125" style="53" customWidth="1"/>
    <col min="9704" max="9704" width="13.54296875" style="53" customWidth="1"/>
    <col min="9705" max="9708" width="11.54296875" style="53" customWidth="1"/>
    <col min="9709" max="9709" width="12.81640625" style="53" customWidth="1"/>
    <col min="9710" max="9710" width="11.54296875" style="53" customWidth="1"/>
    <col min="9711" max="9711" width="5.453125" style="53" customWidth="1"/>
    <col min="9712" max="9956" width="11.453125" style="53"/>
    <col min="9957" max="9957" width="8.54296875" style="53" customWidth="1"/>
    <col min="9958" max="9958" width="13.453125" style="53" customWidth="1"/>
    <col min="9959" max="9959" width="12.453125" style="53" customWidth="1"/>
    <col min="9960" max="9960" width="13.54296875" style="53" customWidth="1"/>
    <col min="9961" max="9964" width="11.54296875" style="53" customWidth="1"/>
    <col min="9965" max="9965" width="12.81640625" style="53" customWidth="1"/>
    <col min="9966" max="9966" width="11.54296875" style="53" customWidth="1"/>
    <col min="9967" max="9967" width="5.453125" style="53" customWidth="1"/>
    <col min="9968" max="10212" width="11.453125" style="53"/>
    <col min="10213" max="10213" width="8.54296875" style="53" customWidth="1"/>
    <col min="10214" max="10214" width="13.453125" style="53" customWidth="1"/>
    <col min="10215" max="10215" width="12.453125" style="53" customWidth="1"/>
    <col min="10216" max="10216" width="13.54296875" style="53" customWidth="1"/>
    <col min="10217" max="10220" width="11.54296875" style="53" customWidth="1"/>
    <col min="10221" max="10221" width="12.81640625" style="53" customWidth="1"/>
    <col min="10222" max="10222" width="11.54296875" style="53" customWidth="1"/>
    <col min="10223" max="10223" width="5.453125" style="53" customWidth="1"/>
    <col min="10224" max="10468" width="11.453125" style="53"/>
    <col min="10469" max="10469" width="8.54296875" style="53" customWidth="1"/>
    <col min="10470" max="10470" width="13.453125" style="53" customWidth="1"/>
    <col min="10471" max="10471" width="12.453125" style="53" customWidth="1"/>
    <col min="10472" max="10472" width="13.54296875" style="53" customWidth="1"/>
    <col min="10473" max="10476" width="11.54296875" style="53" customWidth="1"/>
    <col min="10477" max="10477" width="12.81640625" style="53" customWidth="1"/>
    <col min="10478" max="10478" width="11.54296875" style="53" customWidth="1"/>
    <col min="10479" max="10479" width="5.453125" style="53" customWidth="1"/>
    <col min="10480" max="10724" width="11.453125" style="53"/>
    <col min="10725" max="10725" width="8.54296875" style="53" customWidth="1"/>
    <col min="10726" max="10726" width="13.453125" style="53" customWidth="1"/>
    <col min="10727" max="10727" width="12.453125" style="53" customWidth="1"/>
    <col min="10728" max="10728" width="13.54296875" style="53" customWidth="1"/>
    <col min="10729" max="10732" width="11.54296875" style="53" customWidth="1"/>
    <col min="10733" max="10733" width="12.81640625" style="53" customWidth="1"/>
    <col min="10734" max="10734" width="11.54296875" style="53" customWidth="1"/>
    <col min="10735" max="10735" width="5.453125" style="53" customWidth="1"/>
    <col min="10736" max="10980" width="11.453125" style="53"/>
    <col min="10981" max="10981" width="8.54296875" style="53" customWidth="1"/>
    <col min="10982" max="10982" width="13.453125" style="53" customWidth="1"/>
    <col min="10983" max="10983" width="12.453125" style="53" customWidth="1"/>
    <col min="10984" max="10984" width="13.54296875" style="53" customWidth="1"/>
    <col min="10985" max="10988" width="11.54296875" style="53" customWidth="1"/>
    <col min="10989" max="10989" width="12.81640625" style="53" customWidth="1"/>
    <col min="10990" max="10990" width="11.54296875" style="53" customWidth="1"/>
    <col min="10991" max="10991" width="5.453125" style="53" customWidth="1"/>
    <col min="10992" max="11236" width="11.453125" style="53"/>
    <col min="11237" max="11237" width="8.54296875" style="53" customWidth="1"/>
    <col min="11238" max="11238" width="13.453125" style="53" customWidth="1"/>
    <col min="11239" max="11239" width="12.453125" style="53" customWidth="1"/>
    <col min="11240" max="11240" width="13.54296875" style="53" customWidth="1"/>
    <col min="11241" max="11244" width="11.54296875" style="53" customWidth="1"/>
    <col min="11245" max="11245" width="12.81640625" style="53" customWidth="1"/>
    <col min="11246" max="11246" width="11.54296875" style="53" customWidth="1"/>
    <col min="11247" max="11247" width="5.453125" style="53" customWidth="1"/>
    <col min="11248" max="11492" width="11.453125" style="53"/>
    <col min="11493" max="11493" width="8.54296875" style="53" customWidth="1"/>
    <col min="11494" max="11494" width="13.453125" style="53" customWidth="1"/>
    <col min="11495" max="11495" width="12.453125" style="53" customWidth="1"/>
    <col min="11496" max="11496" width="13.54296875" style="53" customWidth="1"/>
    <col min="11497" max="11500" width="11.54296875" style="53" customWidth="1"/>
    <col min="11501" max="11501" width="12.81640625" style="53" customWidth="1"/>
    <col min="11502" max="11502" width="11.54296875" style="53" customWidth="1"/>
    <col min="11503" max="11503" width="5.453125" style="53" customWidth="1"/>
    <col min="11504" max="11748" width="11.453125" style="53"/>
    <col min="11749" max="11749" width="8.54296875" style="53" customWidth="1"/>
    <col min="11750" max="11750" width="13.453125" style="53" customWidth="1"/>
    <col min="11751" max="11751" width="12.453125" style="53" customWidth="1"/>
    <col min="11752" max="11752" width="13.54296875" style="53" customWidth="1"/>
    <col min="11753" max="11756" width="11.54296875" style="53" customWidth="1"/>
    <col min="11757" max="11757" width="12.81640625" style="53" customWidth="1"/>
    <col min="11758" max="11758" width="11.54296875" style="53" customWidth="1"/>
    <col min="11759" max="11759" width="5.453125" style="53" customWidth="1"/>
    <col min="11760" max="12004" width="11.453125" style="53"/>
    <col min="12005" max="12005" width="8.54296875" style="53" customWidth="1"/>
    <col min="12006" max="12006" width="13.453125" style="53" customWidth="1"/>
    <col min="12007" max="12007" width="12.453125" style="53" customWidth="1"/>
    <col min="12008" max="12008" width="13.54296875" style="53" customWidth="1"/>
    <col min="12009" max="12012" width="11.54296875" style="53" customWidth="1"/>
    <col min="12013" max="12013" width="12.81640625" style="53" customWidth="1"/>
    <col min="12014" max="12014" width="11.54296875" style="53" customWidth="1"/>
    <col min="12015" max="12015" width="5.453125" style="53" customWidth="1"/>
    <col min="12016" max="12260" width="11.453125" style="53"/>
    <col min="12261" max="12261" width="8.54296875" style="53" customWidth="1"/>
    <col min="12262" max="12262" width="13.453125" style="53" customWidth="1"/>
    <col min="12263" max="12263" width="12.453125" style="53" customWidth="1"/>
    <col min="12264" max="12264" width="13.54296875" style="53" customWidth="1"/>
    <col min="12265" max="12268" width="11.54296875" style="53" customWidth="1"/>
    <col min="12269" max="12269" width="12.81640625" style="53" customWidth="1"/>
    <col min="12270" max="12270" width="11.54296875" style="53" customWidth="1"/>
    <col min="12271" max="12271" width="5.453125" style="53" customWidth="1"/>
    <col min="12272" max="12516" width="11.453125" style="53"/>
    <col min="12517" max="12517" width="8.54296875" style="53" customWidth="1"/>
    <col min="12518" max="12518" width="13.453125" style="53" customWidth="1"/>
    <col min="12519" max="12519" width="12.453125" style="53" customWidth="1"/>
    <col min="12520" max="12520" width="13.54296875" style="53" customWidth="1"/>
    <col min="12521" max="12524" width="11.54296875" style="53" customWidth="1"/>
    <col min="12525" max="12525" width="12.81640625" style="53" customWidth="1"/>
    <col min="12526" max="12526" width="11.54296875" style="53" customWidth="1"/>
    <col min="12527" max="12527" width="5.453125" style="53" customWidth="1"/>
    <col min="12528" max="12772" width="11.453125" style="53"/>
    <col min="12773" max="12773" width="8.54296875" style="53" customWidth="1"/>
    <col min="12774" max="12774" width="13.453125" style="53" customWidth="1"/>
    <col min="12775" max="12775" width="12.453125" style="53" customWidth="1"/>
    <col min="12776" max="12776" width="13.54296875" style="53" customWidth="1"/>
    <col min="12777" max="12780" width="11.54296875" style="53" customWidth="1"/>
    <col min="12781" max="12781" width="12.81640625" style="53" customWidth="1"/>
    <col min="12782" max="12782" width="11.54296875" style="53" customWidth="1"/>
    <col min="12783" max="12783" width="5.453125" style="53" customWidth="1"/>
    <col min="12784" max="13028" width="11.453125" style="53"/>
    <col min="13029" max="13029" width="8.54296875" style="53" customWidth="1"/>
    <col min="13030" max="13030" width="13.453125" style="53" customWidth="1"/>
    <col min="13031" max="13031" width="12.453125" style="53" customWidth="1"/>
    <col min="13032" max="13032" width="13.54296875" style="53" customWidth="1"/>
    <col min="13033" max="13036" width="11.54296875" style="53" customWidth="1"/>
    <col min="13037" max="13037" width="12.81640625" style="53" customWidth="1"/>
    <col min="13038" max="13038" width="11.54296875" style="53" customWidth="1"/>
    <col min="13039" max="13039" width="5.453125" style="53" customWidth="1"/>
    <col min="13040" max="13284" width="11.453125" style="53"/>
    <col min="13285" max="13285" width="8.54296875" style="53" customWidth="1"/>
    <col min="13286" max="13286" width="13.453125" style="53" customWidth="1"/>
    <col min="13287" max="13287" width="12.453125" style="53" customWidth="1"/>
    <col min="13288" max="13288" width="13.54296875" style="53" customWidth="1"/>
    <col min="13289" max="13292" width="11.54296875" style="53" customWidth="1"/>
    <col min="13293" max="13293" width="12.81640625" style="53" customWidth="1"/>
    <col min="13294" max="13294" width="11.54296875" style="53" customWidth="1"/>
    <col min="13295" max="13295" width="5.453125" style="53" customWidth="1"/>
    <col min="13296" max="13540" width="11.453125" style="53"/>
    <col min="13541" max="13541" width="8.54296875" style="53" customWidth="1"/>
    <col min="13542" max="13542" width="13.453125" style="53" customWidth="1"/>
    <col min="13543" max="13543" width="12.453125" style="53" customWidth="1"/>
    <col min="13544" max="13544" width="13.54296875" style="53" customWidth="1"/>
    <col min="13545" max="13548" width="11.54296875" style="53" customWidth="1"/>
    <col min="13549" max="13549" width="12.81640625" style="53" customWidth="1"/>
    <col min="13550" max="13550" width="11.54296875" style="53" customWidth="1"/>
    <col min="13551" max="13551" width="5.453125" style="53" customWidth="1"/>
    <col min="13552" max="13796" width="11.453125" style="53"/>
    <col min="13797" max="13797" width="8.54296875" style="53" customWidth="1"/>
    <col min="13798" max="13798" width="13.453125" style="53" customWidth="1"/>
    <col min="13799" max="13799" width="12.453125" style="53" customWidth="1"/>
    <col min="13800" max="13800" width="13.54296875" style="53" customWidth="1"/>
    <col min="13801" max="13804" width="11.54296875" style="53" customWidth="1"/>
    <col min="13805" max="13805" width="12.81640625" style="53" customWidth="1"/>
    <col min="13806" max="13806" width="11.54296875" style="53" customWidth="1"/>
    <col min="13807" max="13807" width="5.453125" style="53" customWidth="1"/>
    <col min="13808" max="14052" width="11.453125" style="53"/>
    <col min="14053" max="14053" width="8.54296875" style="53" customWidth="1"/>
    <col min="14054" max="14054" width="13.453125" style="53" customWidth="1"/>
    <col min="14055" max="14055" width="12.453125" style="53" customWidth="1"/>
    <col min="14056" max="14056" width="13.54296875" style="53" customWidth="1"/>
    <col min="14057" max="14060" width="11.54296875" style="53" customWidth="1"/>
    <col min="14061" max="14061" width="12.81640625" style="53" customWidth="1"/>
    <col min="14062" max="14062" width="11.54296875" style="53" customWidth="1"/>
    <col min="14063" max="14063" width="5.453125" style="53" customWidth="1"/>
    <col min="14064" max="14308" width="11.453125" style="53"/>
    <col min="14309" max="14309" width="8.54296875" style="53" customWidth="1"/>
    <col min="14310" max="14310" width="13.453125" style="53" customWidth="1"/>
    <col min="14311" max="14311" width="12.453125" style="53" customWidth="1"/>
    <col min="14312" max="14312" width="13.54296875" style="53" customWidth="1"/>
    <col min="14313" max="14316" width="11.54296875" style="53" customWidth="1"/>
    <col min="14317" max="14317" width="12.81640625" style="53" customWidth="1"/>
    <col min="14318" max="14318" width="11.54296875" style="53" customWidth="1"/>
    <col min="14319" max="14319" width="5.453125" style="53" customWidth="1"/>
    <col min="14320" max="14564" width="11.453125" style="53"/>
    <col min="14565" max="14565" width="8.54296875" style="53" customWidth="1"/>
    <col min="14566" max="14566" width="13.453125" style="53" customWidth="1"/>
    <col min="14567" max="14567" width="12.453125" style="53" customWidth="1"/>
    <col min="14568" max="14568" width="13.54296875" style="53" customWidth="1"/>
    <col min="14569" max="14572" width="11.54296875" style="53" customWidth="1"/>
    <col min="14573" max="14573" width="12.81640625" style="53" customWidth="1"/>
    <col min="14574" max="14574" width="11.54296875" style="53" customWidth="1"/>
    <col min="14575" max="14575" width="5.453125" style="53" customWidth="1"/>
    <col min="14576" max="14820" width="11.453125" style="53"/>
    <col min="14821" max="14821" width="8.54296875" style="53" customWidth="1"/>
    <col min="14822" max="14822" width="13.453125" style="53" customWidth="1"/>
    <col min="14823" max="14823" width="12.453125" style="53" customWidth="1"/>
    <col min="14824" max="14824" width="13.54296875" style="53" customWidth="1"/>
    <col min="14825" max="14828" width="11.54296875" style="53" customWidth="1"/>
    <col min="14829" max="14829" width="12.81640625" style="53" customWidth="1"/>
    <col min="14830" max="14830" width="11.54296875" style="53" customWidth="1"/>
    <col min="14831" max="14831" width="5.453125" style="53" customWidth="1"/>
    <col min="14832" max="15076" width="11.453125" style="53"/>
    <col min="15077" max="15077" width="8.54296875" style="53" customWidth="1"/>
    <col min="15078" max="15078" width="13.453125" style="53" customWidth="1"/>
    <col min="15079" max="15079" width="12.453125" style="53" customWidth="1"/>
    <col min="15080" max="15080" width="13.54296875" style="53" customWidth="1"/>
    <col min="15081" max="15084" width="11.54296875" style="53" customWidth="1"/>
    <col min="15085" max="15085" width="12.81640625" style="53" customWidth="1"/>
    <col min="15086" max="15086" width="11.54296875" style="53" customWidth="1"/>
    <col min="15087" max="15087" width="5.453125" style="53" customWidth="1"/>
    <col min="15088" max="15332" width="11.453125" style="53"/>
    <col min="15333" max="15333" width="8.54296875" style="53" customWidth="1"/>
    <col min="15334" max="15334" width="13.453125" style="53" customWidth="1"/>
    <col min="15335" max="15335" width="12.453125" style="53" customWidth="1"/>
    <col min="15336" max="15336" width="13.54296875" style="53" customWidth="1"/>
    <col min="15337" max="15340" width="11.54296875" style="53" customWidth="1"/>
    <col min="15341" max="15341" width="12.81640625" style="53" customWidth="1"/>
    <col min="15342" max="15342" width="11.54296875" style="53" customWidth="1"/>
    <col min="15343" max="15343" width="5.453125" style="53" customWidth="1"/>
    <col min="15344" max="15588" width="11.453125" style="53"/>
    <col min="15589" max="15589" width="8.54296875" style="53" customWidth="1"/>
    <col min="15590" max="15590" width="13.453125" style="53" customWidth="1"/>
    <col min="15591" max="15591" width="12.453125" style="53" customWidth="1"/>
    <col min="15592" max="15592" width="13.54296875" style="53" customWidth="1"/>
    <col min="15593" max="15596" width="11.54296875" style="53" customWidth="1"/>
    <col min="15597" max="15597" width="12.81640625" style="53" customWidth="1"/>
    <col min="15598" max="15598" width="11.54296875" style="53" customWidth="1"/>
    <col min="15599" max="15599" width="5.453125" style="53" customWidth="1"/>
    <col min="15600" max="15844" width="11.453125" style="53"/>
    <col min="15845" max="15845" width="8.54296875" style="53" customWidth="1"/>
    <col min="15846" max="15846" width="13.453125" style="53" customWidth="1"/>
    <col min="15847" max="15847" width="12.453125" style="53" customWidth="1"/>
    <col min="15848" max="15848" width="13.54296875" style="53" customWidth="1"/>
    <col min="15849" max="15852" width="11.54296875" style="53" customWidth="1"/>
    <col min="15853" max="15853" width="12.81640625" style="53" customWidth="1"/>
    <col min="15854" max="15854" width="11.54296875" style="53" customWidth="1"/>
    <col min="15855" max="15855" width="5.453125" style="53" customWidth="1"/>
    <col min="15856" max="16100" width="11.453125" style="53"/>
    <col min="16101" max="16101" width="8.54296875" style="53" customWidth="1"/>
    <col min="16102" max="16102" width="13.453125" style="53" customWidth="1"/>
    <col min="16103" max="16103" width="12.453125" style="53" customWidth="1"/>
    <col min="16104" max="16104" width="13.54296875" style="53" customWidth="1"/>
    <col min="16105" max="16108" width="11.54296875" style="53" customWidth="1"/>
    <col min="16109" max="16109" width="12.81640625" style="53" customWidth="1"/>
    <col min="16110" max="16110" width="11.54296875" style="53" customWidth="1"/>
    <col min="16111" max="16111" width="5.453125" style="53" customWidth="1"/>
    <col min="16112" max="16384" width="11.453125" style="53"/>
  </cols>
  <sheetData>
    <row r="1" spans="2:26" s="47" customFormat="1" ht="18.5" x14ac:dyDescent="0.45">
      <c r="B1" s="119"/>
      <c r="C1" s="120"/>
      <c r="D1" s="120"/>
      <c r="E1" s="120"/>
      <c r="F1" s="120"/>
      <c r="G1" s="120"/>
      <c r="H1" s="121"/>
      <c r="I1" s="121"/>
      <c r="J1" s="121" t="s">
        <v>54</v>
      </c>
      <c r="K1" s="122" t="s">
        <v>2</v>
      </c>
      <c r="L1" s="123"/>
      <c r="M1" s="123"/>
      <c r="N1" s="119"/>
      <c r="O1" s="120"/>
      <c r="P1" s="120"/>
      <c r="Q1" s="120"/>
      <c r="R1" s="120"/>
      <c r="S1" s="120"/>
      <c r="T1" s="121"/>
      <c r="U1" s="121"/>
      <c r="V1" s="121" t="s">
        <v>54</v>
      </c>
      <c r="W1" s="122" t="s">
        <v>2</v>
      </c>
      <c r="X1" s="123"/>
      <c r="Y1" s="123"/>
      <c r="Z1" s="123"/>
    </row>
    <row r="2" spans="2:26" s="47" customFormat="1" ht="18.5" x14ac:dyDescent="0.45">
      <c r="B2" s="124" t="s">
        <v>20</v>
      </c>
      <c r="C2" s="120"/>
      <c r="D2" s="120"/>
      <c r="E2" s="120"/>
      <c r="F2" s="120"/>
      <c r="G2" s="120"/>
      <c r="H2" s="121"/>
      <c r="I2" s="121"/>
      <c r="J2" s="121" t="s">
        <v>55</v>
      </c>
      <c r="K2" s="125">
        <v>3</v>
      </c>
      <c r="L2" s="123"/>
      <c r="M2" s="123"/>
      <c r="N2" s="124" t="s">
        <v>20</v>
      </c>
      <c r="O2" s="120"/>
      <c r="P2" s="120"/>
      <c r="Q2" s="120"/>
      <c r="R2" s="120"/>
      <c r="S2" s="120"/>
      <c r="T2" s="121"/>
      <c r="U2" s="121"/>
      <c r="V2" s="121" t="s">
        <v>55</v>
      </c>
      <c r="W2" s="125">
        <v>4</v>
      </c>
      <c r="X2" s="123"/>
      <c r="Y2" s="123"/>
      <c r="Z2" s="123"/>
    </row>
    <row r="3" spans="2:26" s="47" customFormat="1" ht="18.5" x14ac:dyDescent="0.45">
      <c r="B3" s="124" t="s">
        <v>126</v>
      </c>
      <c r="C3" s="120"/>
      <c r="D3" s="120"/>
      <c r="E3" s="120"/>
      <c r="F3" s="120"/>
      <c r="G3" s="120"/>
      <c r="H3" s="120"/>
      <c r="I3" s="120"/>
      <c r="J3" s="120"/>
      <c r="K3" s="126"/>
      <c r="L3" s="123"/>
      <c r="M3" s="123"/>
      <c r="N3" s="124" t="s">
        <v>56</v>
      </c>
      <c r="O3" s="120"/>
      <c r="P3" s="120"/>
      <c r="Q3" s="120"/>
      <c r="R3" s="120"/>
      <c r="S3" s="120"/>
      <c r="T3" s="120"/>
      <c r="U3" s="120"/>
      <c r="V3" s="120"/>
      <c r="W3" s="126"/>
      <c r="X3" s="123"/>
      <c r="Y3" s="123"/>
      <c r="Z3" s="123"/>
    </row>
    <row r="4" spans="2:26" s="47" customFormat="1" ht="18.5" x14ac:dyDescent="0.45">
      <c r="B4" s="124" t="s">
        <v>107</v>
      </c>
      <c r="C4" s="120"/>
      <c r="D4" s="120"/>
      <c r="E4" s="120"/>
      <c r="F4" s="120"/>
      <c r="G4" s="120"/>
      <c r="H4" s="120"/>
      <c r="I4" s="120"/>
      <c r="J4" s="120"/>
      <c r="K4" s="126"/>
      <c r="L4" s="123"/>
      <c r="M4" s="123"/>
      <c r="N4" s="124" t="s">
        <v>107</v>
      </c>
      <c r="O4" s="120"/>
      <c r="P4" s="120"/>
      <c r="Q4" s="120"/>
      <c r="R4" s="120"/>
      <c r="S4" s="120"/>
      <c r="T4" s="120"/>
      <c r="U4" s="120"/>
      <c r="V4" s="120"/>
      <c r="W4" s="126"/>
      <c r="X4" s="123"/>
      <c r="Y4" s="123"/>
      <c r="Z4" s="123"/>
    </row>
    <row r="5" spans="2:26" s="47" customFormat="1" ht="18.5" x14ac:dyDescent="0.45">
      <c r="B5" s="124" t="s">
        <v>68</v>
      </c>
      <c r="C5" s="120"/>
      <c r="D5" s="120"/>
      <c r="E5" s="120"/>
      <c r="F5" s="120"/>
      <c r="G5" s="120"/>
      <c r="H5" s="120"/>
      <c r="I5" s="120"/>
      <c r="J5" s="120"/>
      <c r="K5" s="123"/>
      <c r="L5" s="123"/>
      <c r="M5" s="123"/>
      <c r="N5" s="124" t="s">
        <v>68</v>
      </c>
      <c r="O5" s="120"/>
      <c r="P5" s="120"/>
      <c r="Q5" s="120"/>
      <c r="R5" s="120"/>
      <c r="S5" s="120"/>
      <c r="T5" s="120"/>
      <c r="U5" s="120"/>
      <c r="V5" s="120"/>
      <c r="W5" s="123"/>
      <c r="X5" s="123"/>
      <c r="Y5" s="123"/>
      <c r="Z5" s="123"/>
    </row>
    <row r="6" spans="2:26" x14ac:dyDescent="0.35">
      <c r="B6" s="127"/>
      <c r="C6" s="128"/>
      <c r="D6" s="128"/>
      <c r="E6" s="128"/>
      <c r="F6" s="128"/>
      <c r="G6" s="128"/>
      <c r="H6" s="128"/>
      <c r="I6" s="128"/>
      <c r="J6" s="128"/>
      <c r="K6" s="129"/>
      <c r="L6" s="129"/>
      <c r="M6" s="129"/>
      <c r="N6" s="127"/>
      <c r="O6" s="128"/>
      <c r="P6" s="128"/>
      <c r="Q6" s="128"/>
      <c r="R6" s="128"/>
      <c r="S6" s="128"/>
      <c r="T6" s="128"/>
      <c r="U6" s="128"/>
      <c r="V6" s="128"/>
      <c r="W6" s="129"/>
      <c r="X6" s="129"/>
      <c r="Y6" s="129"/>
      <c r="Z6" s="129"/>
    </row>
    <row r="7" spans="2:26" x14ac:dyDescent="0.35">
      <c r="B7" s="130"/>
      <c r="C7" s="128"/>
      <c r="D7" s="128"/>
      <c r="E7" s="128"/>
      <c r="F7" s="128"/>
      <c r="G7" s="128"/>
      <c r="H7" s="128"/>
      <c r="I7" s="128"/>
      <c r="J7" s="128"/>
      <c r="K7" s="129"/>
      <c r="L7" s="129"/>
      <c r="M7" s="129"/>
      <c r="N7" s="130"/>
      <c r="O7" s="128"/>
      <c r="P7" s="128"/>
      <c r="Q7" s="128"/>
      <c r="R7" s="128"/>
      <c r="S7" s="128"/>
      <c r="T7" s="128"/>
      <c r="U7" s="128"/>
      <c r="V7" s="128"/>
      <c r="W7" s="129"/>
      <c r="X7" s="129"/>
      <c r="Y7" s="129"/>
      <c r="Z7" s="129"/>
    </row>
    <row r="8" spans="2:26" x14ac:dyDescent="0.35">
      <c r="B8" s="131"/>
      <c r="C8" s="128"/>
      <c r="D8" s="128"/>
      <c r="E8" s="128"/>
      <c r="F8" s="128"/>
      <c r="G8" s="128"/>
      <c r="H8" s="128"/>
      <c r="I8" s="128"/>
      <c r="J8" s="128"/>
      <c r="K8" s="129"/>
      <c r="L8" s="129"/>
      <c r="M8" s="129"/>
      <c r="N8" s="131"/>
      <c r="O8" s="128"/>
      <c r="P8" s="128"/>
      <c r="Q8" s="128"/>
      <c r="R8" s="128"/>
      <c r="S8" s="128"/>
      <c r="T8" s="128"/>
      <c r="U8" s="128"/>
      <c r="V8" s="128"/>
      <c r="W8" s="129"/>
      <c r="X8" s="129"/>
      <c r="Y8" s="129"/>
      <c r="Z8" s="129"/>
    </row>
    <row r="9" spans="2:26" x14ac:dyDescent="0.35">
      <c r="B9" s="131"/>
      <c r="C9" s="128"/>
      <c r="D9" s="128"/>
      <c r="E9" s="128"/>
      <c r="F9" s="128"/>
      <c r="G9" s="128"/>
      <c r="H9" s="128"/>
      <c r="I9" s="128"/>
      <c r="J9" s="128"/>
      <c r="K9" s="129"/>
      <c r="L9" s="129"/>
      <c r="M9" s="129"/>
      <c r="N9" s="131"/>
      <c r="O9" s="128"/>
      <c r="P9" s="128"/>
      <c r="Q9" s="128"/>
      <c r="R9" s="128"/>
      <c r="S9" s="128"/>
      <c r="T9" s="128"/>
      <c r="U9" s="128"/>
      <c r="V9" s="128"/>
      <c r="W9" s="129"/>
      <c r="X9" s="129"/>
      <c r="Y9" s="129"/>
      <c r="Z9" s="129"/>
    </row>
    <row r="10" spans="2:26" x14ac:dyDescent="0.35">
      <c r="B10" s="132" t="s">
        <v>3</v>
      </c>
      <c r="C10" s="133">
        <v>-2</v>
      </c>
      <c r="D10" s="133">
        <v>-3</v>
      </c>
      <c r="E10" s="133">
        <v>-4</v>
      </c>
      <c r="F10" s="133">
        <v>-5</v>
      </c>
      <c r="G10" s="133">
        <v>-6</v>
      </c>
      <c r="H10" s="133">
        <v>-7</v>
      </c>
      <c r="I10" s="133">
        <v>-8</v>
      </c>
      <c r="J10" s="133">
        <v>-9</v>
      </c>
      <c r="K10" s="129"/>
      <c r="L10" s="129"/>
      <c r="M10" s="129"/>
      <c r="N10" s="132" t="s">
        <v>3</v>
      </c>
      <c r="O10" s="133">
        <v>-2</v>
      </c>
      <c r="P10" s="133">
        <v>-3</v>
      </c>
      <c r="Q10" s="133">
        <v>-4</v>
      </c>
      <c r="R10" s="133">
        <v>-5</v>
      </c>
      <c r="S10" s="133">
        <v>-6</v>
      </c>
      <c r="T10" s="133">
        <v>-7</v>
      </c>
      <c r="U10" s="133"/>
      <c r="V10" s="133"/>
      <c r="W10" s="129"/>
      <c r="X10" s="129"/>
      <c r="Y10" s="129"/>
      <c r="Z10" s="129"/>
    </row>
    <row r="11" spans="2:26" s="19" customFormat="1" ht="87" customHeight="1" x14ac:dyDescent="0.35">
      <c r="B11" s="107" t="s">
        <v>57</v>
      </c>
      <c r="C11" s="107" t="s">
        <v>134</v>
      </c>
      <c r="D11" s="107" t="s">
        <v>135</v>
      </c>
      <c r="E11" s="107" t="s">
        <v>129</v>
      </c>
      <c r="F11" s="107" t="s">
        <v>58</v>
      </c>
      <c r="G11" s="134" t="s">
        <v>130</v>
      </c>
      <c r="H11" s="107" t="s">
        <v>133</v>
      </c>
      <c r="I11" s="134" t="s">
        <v>131</v>
      </c>
      <c r="J11" s="107" t="s">
        <v>132</v>
      </c>
      <c r="K11" s="135"/>
      <c r="L11" s="135"/>
      <c r="M11" s="135"/>
      <c r="N11" s="107" t="s">
        <v>57</v>
      </c>
      <c r="O11" s="107" t="s">
        <v>59</v>
      </c>
      <c r="P11" s="107" t="s">
        <v>90</v>
      </c>
      <c r="Q11" s="107" t="s">
        <v>92</v>
      </c>
      <c r="R11" s="107" t="s">
        <v>58</v>
      </c>
      <c r="S11" s="134" t="s">
        <v>91</v>
      </c>
      <c r="T11" s="134" t="s">
        <v>93</v>
      </c>
      <c r="U11" s="134"/>
      <c r="V11" s="107"/>
      <c r="W11" s="135"/>
      <c r="X11" s="135"/>
      <c r="Y11" s="135"/>
      <c r="Z11" s="135"/>
    </row>
    <row r="12" spans="2:26" s="19" customFormat="1" x14ac:dyDescent="0.35">
      <c r="B12" s="135"/>
      <c r="C12" s="135"/>
      <c r="D12" s="135"/>
      <c r="E12" s="135"/>
      <c r="F12" s="135"/>
      <c r="G12" s="136"/>
      <c r="H12" s="135"/>
      <c r="I12" s="135"/>
      <c r="J12" s="136"/>
      <c r="K12" s="135"/>
      <c r="L12" s="135"/>
      <c r="M12" s="135"/>
      <c r="N12" s="135"/>
      <c r="O12" s="135"/>
      <c r="P12" s="135"/>
      <c r="Q12" s="135"/>
      <c r="R12" s="135"/>
      <c r="S12" s="136"/>
      <c r="T12" s="135"/>
      <c r="U12" s="135"/>
      <c r="V12" s="136"/>
      <c r="W12" s="135"/>
      <c r="X12" s="135"/>
      <c r="Y12" s="135"/>
      <c r="Z12" s="135"/>
    </row>
    <row r="13" spans="2:26" s="19" customFormat="1" x14ac:dyDescent="0.35">
      <c r="B13" s="137" t="s">
        <v>60</v>
      </c>
      <c r="C13" s="135"/>
      <c r="D13" s="135"/>
      <c r="E13" s="135"/>
      <c r="F13" s="135"/>
      <c r="G13" s="136"/>
      <c r="H13" s="135"/>
      <c r="I13" s="135"/>
      <c r="J13" s="136"/>
      <c r="K13" s="135"/>
      <c r="L13" s="135"/>
      <c r="M13" s="135"/>
      <c r="N13" s="137" t="s">
        <v>60</v>
      </c>
      <c r="O13" s="135"/>
      <c r="P13" s="135"/>
      <c r="Q13" s="135"/>
      <c r="R13" s="135"/>
      <c r="S13" s="136"/>
      <c r="T13" s="135"/>
      <c r="U13" s="135"/>
      <c r="V13" s="136"/>
      <c r="W13" s="135"/>
      <c r="X13" s="135"/>
      <c r="Y13" s="135"/>
      <c r="Z13" s="135"/>
    </row>
    <row r="14" spans="2:26" s="19" customFormat="1" x14ac:dyDescent="0.35">
      <c r="B14" s="135"/>
      <c r="C14" s="135"/>
      <c r="D14" s="135"/>
      <c r="E14" s="135"/>
      <c r="F14" s="135"/>
      <c r="G14" s="136"/>
      <c r="H14" s="135"/>
      <c r="I14" s="135"/>
      <c r="J14" s="136"/>
      <c r="K14" s="135"/>
      <c r="L14" s="135"/>
      <c r="M14" s="135"/>
      <c r="N14" s="135"/>
      <c r="O14" s="135"/>
      <c r="P14" s="135"/>
      <c r="Q14" s="135"/>
      <c r="R14" s="135"/>
      <c r="S14" s="136"/>
      <c r="T14" s="135"/>
      <c r="U14" s="135"/>
      <c r="V14" s="136"/>
      <c r="W14" s="135"/>
      <c r="X14" s="135"/>
      <c r="Y14" s="135"/>
      <c r="Z14" s="135"/>
    </row>
    <row r="15" spans="2:26" x14ac:dyDescent="0.35">
      <c r="B15" s="138">
        <v>12</v>
      </c>
      <c r="C15" s="139">
        <v>0.25</v>
      </c>
      <c r="D15" s="140">
        <f>C15</f>
        <v>0.25</v>
      </c>
      <c r="E15" s="141">
        <v>0.5</v>
      </c>
      <c r="F15" s="142">
        <v>1.95E-2</v>
      </c>
      <c r="G15" s="143">
        <f>ROUND(Parallélogramme!$R$48,2)</f>
        <v>0.17</v>
      </c>
      <c r="H15" s="144">
        <f t="shared" ref="H15:H22" si="0">D15*(1+F15)^-(E15-(0.5-G15))</f>
        <v>0.24918057264520932</v>
      </c>
      <c r="I15" s="143">
        <f>ROUND(Parallélogramme!$U$48,2)</f>
        <v>0.45</v>
      </c>
      <c r="J15" s="144">
        <f t="shared" ref="J15:J22" si="1">D15*(1+F15)^-(E15-(0.5-I15))</f>
        <v>0.24783677840556356</v>
      </c>
      <c r="K15" s="145"/>
      <c r="L15" s="129"/>
      <c r="M15" s="129"/>
      <c r="N15" s="138">
        <v>1</v>
      </c>
      <c r="O15" s="146">
        <f>1/24</f>
        <v>4.1666666666666664E-2</v>
      </c>
      <c r="P15" s="147">
        <f>Parallélogramme!R33/Parallélogramme!$R$47</f>
        <v>0.30555555555555558</v>
      </c>
      <c r="Q15" s="147">
        <f>Parallélogramme!U33/Parallélogramme!$U$47</f>
        <v>8.3333333333333329E-2</v>
      </c>
      <c r="R15" s="148">
        <v>1.9099999999999999E-2</v>
      </c>
      <c r="S15" s="149">
        <f>P15*(1+$R15)^-$O15</f>
        <v>0.30531477231254456</v>
      </c>
      <c r="T15" s="149">
        <f t="shared" ref="T15:T28" si="2">Q15*(1+$R15)^-$O15</f>
        <v>8.3267665176148503E-2</v>
      </c>
      <c r="U15" s="143"/>
      <c r="V15" s="144"/>
      <c r="W15" s="129"/>
      <c r="X15" s="129"/>
      <c r="Y15" s="129"/>
      <c r="Z15" s="129"/>
    </row>
    <row r="16" spans="2:26" x14ac:dyDescent="0.35">
      <c r="B16" s="138">
        <f t="shared" ref="B16:B22" si="3">B15+12</f>
        <v>24</v>
      </c>
      <c r="C16" s="139">
        <v>0.5</v>
      </c>
      <c r="D16" s="140">
        <f t="shared" ref="D16:D22" si="4">C16-C15</f>
        <v>0.25</v>
      </c>
      <c r="E16" s="141">
        <f t="shared" ref="E16:E22" si="5">E15+1</f>
        <v>1.5</v>
      </c>
      <c r="F16" s="150">
        <v>2.0400000000000001E-2</v>
      </c>
      <c r="G16" s="143">
        <f>ROUND(Parallélogramme!$R$48,2)</f>
        <v>0.17</v>
      </c>
      <c r="H16" s="144">
        <f t="shared" si="0"/>
        <v>0.24416228589573089</v>
      </c>
      <c r="I16" s="143">
        <f>ROUND(Parallélogramme!$U$48,2)</f>
        <v>0.45</v>
      </c>
      <c r="J16" s="144">
        <f t="shared" si="1"/>
        <v>0.24278556186911182</v>
      </c>
      <c r="K16" s="145"/>
      <c r="L16" s="129"/>
      <c r="M16" s="129"/>
      <c r="N16" s="138">
        <f>N15+1</f>
        <v>2</v>
      </c>
      <c r="O16" s="146">
        <f>O15+1/12</f>
        <v>0.125</v>
      </c>
      <c r="P16" s="147">
        <f>Parallélogramme!R34/Parallélogramme!$R$47</f>
        <v>0.25</v>
      </c>
      <c r="Q16" s="147">
        <f>Parallélogramme!U34/Parallélogramme!$U$47</f>
        <v>9.6153846153846159E-2</v>
      </c>
      <c r="R16" s="148">
        <v>1.9199999999999998E-2</v>
      </c>
      <c r="S16" s="149">
        <f t="shared" ref="S16:S28" si="6">P16*(1+$R16)^-$O16</f>
        <v>0.2494063931733185</v>
      </c>
      <c r="T16" s="149">
        <f t="shared" si="2"/>
        <v>9.5925535835891737E-2</v>
      </c>
      <c r="U16" s="143"/>
      <c r="V16" s="144"/>
      <c r="W16" s="129"/>
      <c r="X16" s="129"/>
      <c r="Y16" s="129"/>
      <c r="Z16" s="129"/>
    </row>
    <row r="17" spans="2:26" x14ac:dyDescent="0.35">
      <c r="B17" s="138">
        <f t="shared" si="3"/>
        <v>36</v>
      </c>
      <c r="C17" s="139">
        <v>0.75</v>
      </c>
      <c r="D17" s="140">
        <f t="shared" si="4"/>
        <v>0.25</v>
      </c>
      <c r="E17" s="141">
        <f t="shared" si="5"/>
        <v>2.5</v>
      </c>
      <c r="F17" s="150">
        <v>2.1499999999999998E-2</v>
      </c>
      <c r="G17" s="143">
        <f>ROUND(Parallélogramme!$R$48,2)</f>
        <v>0.17</v>
      </c>
      <c r="H17" s="144">
        <f t="shared" si="0"/>
        <v>0.2387221645554137</v>
      </c>
      <c r="I17" s="143">
        <f>ROUND(Parallélogramme!$U$48,2)</f>
        <v>0.45</v>
      </c>
      <c r="J17" s="144">
        <f t="shared" si="1"/>
        <v>0.2373045141997584</v>
      </c>
      <c r="K17" s="145"/>
      <c r="L17" s="129"/>
      <c r="M17" s="129"/>
      <c r="N17" s="138">
        <f t="shared" ref="N17:N28" si="7">N16+1</f>
        <v>3</v>
      </c>
      <c r="O17" s="146">
        <f t="shared" ref="O17:O28" si="8">O16+1/12</f>
        <v>0.20833333333333331</v>
      </c>
      <c r="P17" s="147">
        <f>Parallélogramme!R35/Parallélogramme!$R$47</f>
        <v>0.19444444444444445</v>
      </c>
      <c r="Q17" s="147">
        <f>Parallélogramme!U35/Parallélogramme!$U$47</f>
        <v>0.10256410256410256</v>
      </c>
      <c r="R17" s="148">
        <v>1.9300000000000001E-2</v>
      </c>
      <c r="S17" s="149">
        <f t="shared" si="6"/>
        <v>0.19367160464522723</v>
      </c>
      <c r="T17" s="149">
        <f t="shared" si="2"/>
        <v>0.1021564508018781</v>
      </c>
      <c r="U17" s="143"/>
      <c r="V17" s="144"/>
      <c r="W17" s="129"/>
      <c r="X17" s="129"/>
      <c r="Y17" s="129"/>
      <c r="Z17" s="129"/>
    </row>
    <row r="18" spans="2:26" x14ac:dyDescent="0.35">
      <c r="B18" s="151">
        <f t="shared" si="3"/>
        <v>48</v>
      </c>
      <c r="C18" s="139">
        <v>0.9</v>
      </c>
      <c r="D18" s="140">
        <f t="shared" si="4"/>
        <v>0.15000000000000002</v>
      </c>
      <c r="E18" s="152">
        <f t="shared" si="5"/>
        <v>3.5</v>
      </c>
      <c r="F18" s="150">
        <v>2.2700000000000001E-2</v>
      </c>
      <c r="G18" s="143">
        <f>ROUND(Parallélogramme!$R$48,2)</f>
        <v>0.17</v>
      </c>
      <c r="H18" s="144">
        <f t="shared" si="0"/>
        <v>0.13969771022998176</v>
      </c>
      <c r="I18" s="143">
        <f>ROUND(Parallélogramme!$U$48,2)</f>
        <v>0.45</v>
      </c>
      <c r="J18" s="144">
        <f t="shared" si="1"/>
        <v>0.13882247278407828</v>
      </c>
      <c r="K18" s="145"/>
      <c r="L18" s="129"/>
      <c r="M18" s="129"/>
      <c r="N18" s="138">
        <f t="shared" si="7"/>
        <v>4</v>
      </c>
      <c r="O18" s="146">
        <f t="shared" si="8"/>
        <v>0.29166666666666663</v>
      </c>
      <c r="P18" s="147">
        <f>Parallélogramme!R36/Parallélogramme!$R$47</f>
        <v>0.1388888888888889</v>
      </c>
      <c r="Q18" s="153">
        <f>Parallélogramme!U36/Parallélogramme!$U$47</f>
        <v>0.10256410256410256</v>
      </c>
      <c r="R18" s="148">
        <v>1.9400000000000001E-2</v>
      </c>
      <c r="S18" s="149">
        <f t="shared" si="6"/>
        <v>0.13811271204907991</v>
      </c>
      <c r="T18" s="149">
        <f t="shared" si="2"/>
        <v>0.101990925820859</v>
      </c>
      <c r="U18" s="143"/>
      <c r="V18" s="144"/>
      <c r="W18" s="129"/>
      <c r="X18" s="129"/>
      <c r="Y18" s="129"/>
      <c r="Z18" s="129"/>
    </row>
    <row r="19" spans="2:26" x14ac:dyDescent="0.35">
      <c r="B19" s="151">
        <f t="shared" si="3"/>
        <v>60</v>
      </c>
      <c r="C19" s="154">
        <v>1</v>
      </c>
      <c r="D19" s="140">
        <f t="shared" si="4"/>
        <v>9.9999999999999978E-2</v>
      </c>
      <c r="E19" s="151">
        <f t="shared" si="5"/>
        <v>4.5</v>
      </c>
      <c r="F19" s="150">
        <v>2.3300000000000001E-2</v>
      </c>
      <c r="G19" s="143">
        <f>ROUND(Parallélogramme!$R$48,2)</f>
        <v>0.17</v>
      </c>
      <c r="H19" s="144">
        <f t="shared" si="0"/>
        <v>9.0842190493084216E-2</v>
      </c>
      <c r="I19" s="143">
        <f>ROUND(Parallélogramme!$U$48,2)</f>
        <v>0.45</v>
      </c>
      <c r="J19" s="144">
        <f t="shared" si="1"/>
        <v>9.0258220139738096E-2</v>
      </c>
      <c r="K19" s="145"/>
      <c r="L19" s="129"/>
      <c r="M19" s="129"/>
      <c r="N19" s="138">
        <f t="shared" si="7"/>
        <v>5</v>
      </c>
      <c r="O19" s="146">
        <f t="shared" si="8"/>
        <v>0.37499999999999994</v>
      </c>
      <c r="P19" s="147">
        <f>Parallélogramme!R37/Parallélogramme!$R$47</f>
        <v>8.3333333333333329E-2</v>
      </c>
      <c r="Q19" s="153">
        <f>Parallélogramme!U37/Parallélogramme!$U$47</f>
        <v>0.10256410256410256</v>
      </c>
      <c r="R19" s="148">
        <v>1.9400000000000001E-2</v>
      </c>
      <c r="S19" s="149">
        <f t="shared" si="6"/>
        <v>8.2735047006226484E-2</v>
      </c>
      <c r="T19" s="149">
        <f t="shared" si="2"/>
        <v>0.10182775016150952</v>
      </c>
      <c r="U19" s="143"/>
      <c r="V19" s="144"/>
      <c r="W19" s="129"/>
      <c r="X19" s="129"/>
      <c r="Y19" s="129"/>
      <c r="Z19" s="129"/>
    </row>
    <row r="20" spans="2:26" x14ac:dyDescent="0.35">
      <c r="B20" s="151">
        <f t="shared" si="3"/>
        <v>72</v>
      </c>
      <c r="C20" s="154">
        <v>1</v>
      </c>
      <c r="D20" s="140">
        <f t="shared" si="4"/>
        <v>0</v>
      </c>
      <c r="E20" s="151">
        <f t="shared" si="5"/>
        <v>5.5</v>
      </c>
      <c r="F20" s="150">
        <v>2.46E-2</v>
      </c>
      <c r="G20" s="143">
        <f>ROUND(Parallélogramme!$R$48,2)</f>
        <v>0.17</v>
      </c>
      <c r="H20" s="144">
        <f t="shared" si="0"/>
        <v>0</v>
      </c>
      <c r="I20" s="143">
        <f>ROUND(Parallélogramme!$U$48,2)</f>
        <v>0.45</v>
      </c>
      <c r="J20" s="144">
        <f t="shared" si="1"/>
        <v>0</v>
      </c>
      <c r="K20" s="145"/>
      <c r="L20" s="129"/>
      <c r="M20" s="129"/>
      <c r="N20" s="138">
        <f t="shared" si="7"/>
        <v>6</v>
      </c>
      <c r="O20" s="146">
        <f t="shared" si="8"/>
        <v>0.45833333333333326</v>
      </c>
      <c r="P20" s="147">
        <f>Parallélogramme!R38/Parallélogramme!$R$47</f>
        <v>2.7777777777777776E-2</v>
      </c>
      <c r="Q20" s="153">
        <f>Parallélogramme!U38/Parallélogramme!$U$47</f>
        <v>0.10256410256410256</v>
      </c>
      <c r="R20" s="148">
        <v>1.95E-2</v>
      </c>
      <c r="S20" s="149">
        <f t="shared" si="6"/>
        <v>2.7532988419297244E-2</v>
      </c>
      <c r="T20" s="149">
        <f t="shared" si="2"/>
        <v>0.10166026493278982</v>
      </c>
      <c r="U20" s="143"/>
      <c r="V20" s="144"/>
      <c r="W20" s="129"/>
      <c r="X20" s="129"/>
      <c r="Y20" s="129"/>
      <c r="Z20" s="129"/>
    </row>
    <row r="21" spans="2:26" x14ac:dyDescent="0.35">
      <c r="B21" s="151">
        <f t="shared" si="3"/>
        <v>84</v>
      </c>
      <c r="C21" s="154">
        <v>1</v>
      </c>
      <c r="D21" s="140">
        <f t="shared" si="4"/>
        <v>0</v>
      </c>
      <c r="E21" s="151">
        <f t="shared" si="5"/>
        <v>6.5</v>
      </c>
      <c r="F21" s="150">
        <v>2.5499999999999998E-2</v>
      </c>
      <c r="G21" s="143">
        <f>ROUND(Parallélogramme!$R$48,2)</f>
        <v>0.17</v>
      </c>
      <c r="H21" s="144">
        <f t="shared" si="0"/>
        <v>0</v>
      </c>
      <c r="I21" s="143">
        <f>ROUND(Parallélogramme!$U$48,2)</f>
        <v>0.45</v>
      </c>
      <c r="J21" s="144">
        <f t="shared" si="1"/>
        <v>0</v>
      </c>
      <c r="K21" s="145"/>
      <c r="L21" s="129"/>
      <c r="M21" s="129"/>
      <c r="N21" s="138">
        <f t="shared" si="7"/>
        <v>7</v>
      </c>
      <c r="O21" s="146">
        <f t="shared" si="8"/>
        <v>0.54166666666666663</v>
      </c>
      <c r="P21" s="147">
        <f>Parallélogramme!R39/Parallélogramme!$R$47</f>
        <v>0</v>
      </c>
      <c r="Q21" s="153">
        <f>Parallélogramme!U39/Parallélogramme!$U$47</f>
        <v>9.6153846153846159E-2</v>
      </c>
      <c r="R21" s="148">
        <v>1.9599999999999999E-2</v>
      </c>
      <c r="S21" s="149">
        <f t="shared" si="6"/>
        <v>0</v>
      </c>
      <c r="T21" s="149">
        <f t="shared" si="2"/>
        <v>9.5148184168644859E-2</v>
      </c>
      <c r="U21" s="143"/>
      <c r="V21" s="144"/>
      <c r="W21" s="129"/>
      <c r="X21" s="129"/>
      <c r="Y21" s="129"/>
      <c r="Z21" s="129"/>
    </row>
    <row r="22" spans="2:26" x14ac:dyDescent="0.35">
      <c r="B22" s="70">
        <f t="shared" si="3"/>
        <v>96</v>
      </c>
      <c r="C22" s="71">
        <v>1</v>
      </c>
      <c r="D22" s="72">
        <f t="shared" si="4"/>
        <v>0</v>
      </c>
      <c r="E22" s="70">
        <f t="shared" si="5"/>
        <v>7.5</v>
      </c>
      <c r="F22" s="155">
        <v>2.6499999999999999E-2</v>
      </c>
      <c r="G22" s="78">
        <f>ROUND(Parallélogramme!$R$48,2)</f>
        <v>0.17</v>
      </c>
      <c r="H22" s="75">
        <f t="shared" si="0"/>
        <v>0</v>
      </c>
      <c r="I22" s="78">
        <f>ROUND(Parallélogramme!$U$48,2)</f>
        <v>0.45</v>
      </c>
      <c r="J22" s="75">
        <f t="shared" si="1"/>
        <v>0</v>
      </c>
      <c r="K22" s="145"/>
      <c r="L22" s="129"/>
      <c r="M22" s="129"/>
      <c r="N22" s="138">
        <f t="shared" si="7"/>
        <v>8</v>
      </c>
      <c r="O22" s="146">
        <f t="shared" si="8"/>
        <v>0.625</v>
      </c>
      <c r="P22" s="147">
        <f>Parallélogramme!R40/Parallélogramme!$R$47</f>
        <v>0</v>
      </c>
      <c r="Q22" s="153">
        <f>Parallélogramme!U40/Parallélogramme!$U$47</f>
        <v>8.3333333333333329E-2</v>
      </c>
      <c r="R22" s="148">
        <v>1.9599999999999999E-2</v>
      </c>
      <c r="S22" s="149">
        <f t="shared" si="6"/>
        <v>0</v>
      </c>
      <c r="T22" s="149">
        <f t="shared" si="2"/>
        <v>8.2328482831298289E-2</v>
      </c>
      <c r="U22" s="84"/>
      <c r="V22" s="85"/>
      <c r="W22" s="129"/>
      <c r="X22" s="129"/>
      <c r="Y22" s="129"/>
      <c r="Z22" s="129"/>
    </row>
    <row r="23" spans="2:26" x14ac:dyDescent="0.35">
      <c r="B23" s="156" t="s">
        <v>0</v>
      </c>
      <c r="C23" s="157">
        <f>C22</f>
        <v>1</v>
      </c>
      <c r="D23" s="158">
        <f>SUM(D15:D22)</f>
        <v>1</v>
      </c>
      <c r="E23" s="159"/>
      <c r="F23" s="129"/>
      <c r="G23" s="160"/>
      <c r="H23" s="161">
        <f>SUM(H15:H22)</f>
        <v>0.96260492381941987</v>
      </c>
      <c r="I23" s="160"/>
      <c r="J23" s="161">
        <f>SUM(J15:J22)</f>
        <v>0.95700754739825011</v>
      </c>
      <c r="K23" s="129"/>
      <c r="L23" s="129"/>
      <c r="M23" s="129"/>
      <c r="N23" s="138">
        <f t="shared" si="7"/>
        <v>9</v>
      </c>
      <c r="O23" s="146">
        <f t="shared" si="8"/>
        <v>0.70833333333333337</v>
      </c>
      <c r="P23" s="147">
        <f>Parallélogramme!R41/Parallélogramme!$R$47</f>
        <v>0</v>
      </c>
      <c r="Q23" s="153">
        <f>Parallélogramme!U41/Parallélogramme!$U$47</f>
        <v>7.0512820512820512E-2</v>
      </c>
      <c r="R23" s="148">
        <v>1.9699999999999999E-2</v>
      </c>
      <c r="S23" s="149">
        <f t="shared" si="6"/>
        <v>0</v>
      </c>
      <c r="T23" s="149">
        <f t="shared" si="2"/>
        <v>6.9545140651219764E-2</v>
      </c>
      <c r="U23" s="160"/>
      <c r="V23" s="161"/>
      <c r="W23" s="129"/>
      <c r="X23" s="129"/>
      <c r="Y23" s="129"/>
      <c r="Z23" s="129"/>
    </row>
    <row r="24" spans="2:26" x14ac:dyDescent="0.35">
      <c r="B24" s="131"/>
      <c r="C24" s="128"/>
      <c r="D24" s="128"/>
      <c r="E24" s="128"/>
      <c r="F24" s="131"/>
      <c r="G24" s="162"/>
      <c r="H24" s="162"/>
      <c r="I24" s="163"/>
      <c r="J24" s="162"/>
      <c r="K24" s="129"/>
      <c r="L24" s="129"/>
      <c r="M24" s="129"/>
      <c r="N24" s="138">
        <f t="shared" si="7"/>
        <v>10</v>
      </c>
      <c r="O24" s="146">
        <f t="shared" si="8"/>
        <v>0.79166666666666674</v>
      </c>
      <c r="P24" s="147">
        <f>Parallélogramme!R42/Parallélogramme!$R$47</f>
        <v>0</v>
      </c>
      <c r="Q24" s="153">
        <f>Parallélogramme!U42/Parallélogramme!$U$47</f>
        <v>5.7692307692307696E-2</v>
      </c>
      <c r="R24" s="148">
        <v>1.9800000000000002E-2</v>
      </c>
      <c r="S24" s="149">
        <f t="shared" si="6"/>
        <v>0</v>
      </c>
      <c r="T24" s="149">
        <f t="shared" si="2"/>
        <v>5.6803731165589885E-2</v>
      </c>
      <c r="U24" s="163"/>
      <c r="V24" s="162"/>
      <c r="W24" s="129"/>
      <c r="X24" s="129"/>
      <c r="Y24" s="129"/>
      <c r="Z24" s="129"/>
    </row>
    <row r="25" spans="2:26" x14ac:dyDescent="0.35">
      <c r="B25" s="164" t="s">
        <v>61</v>
      </c>
      <c r="C25" s="128"/>
      <c r="D25" s="103"/>
      <c r="E25" s="128"/>
      <c r="F25" s="128"/>
      <c r="G25" s="162"/>
      <c r="H25" s="128"/>
      <c r="I25" s="128"/>
      <c r="J25" s="162"/>
      <c r="K25" s="129"/>
      <c r="L25" s="129"/>
      <c r="M25" s="129"/>
      <c r="N25" s="138">
        <f t="shared" si="7"/>
        <v>11</v>
      </c>
      <c r="O25" s="146">
        <f t="shared" si="8"/>
        <v>0.87500000000000011</v>
      </c>
      <c r="P25" s="147">
        <f>Parallélogramme!R43/Parallélogramme!$R$47</f>
        <v>0</v>
      </c>
      <c r="Q25" s="153">
        <f>Parallélogramme!U43/Parallélogramme!$U$47</f>
        <v>4.4871794871794872E-2</v>
      </c>
      <c r="R25" s="148">
        <v>1.9900000000000001E-2</v>
      </c>
      <c r="S25" s="149">
        <f t="shared" si="6"/>
        <v>0</v>
      </c>
      <c r="T25" s="149">
        <f t="shared" si="2"/>
        <v>4.410476870129041E-2</v>
      </c>
      <c r="U25" s="128"/>
      <c r="V25" s="162"/>
      <c r="W25" s="129"/>
      <c r="X25" s="129"/>
      <c r="Y25" s="129"/>
      <c r="Z25" s="129"/>
    </row>
    <row r="26" spans="2:26" x14ac:dyDescent="0.35">
      <c r="B26" s="110" t="s">
        <v>88</v>
      </c>
      <c r="C26" s="103"/>
      <c r="D26" s="103"/>
      <c r="E26" s="103"/>
      <c r="F26" s="103"/>
      <c r="G26" s="103"/>
      <c r="H26" s="163"/>
      <c r="I26" s="163"/>
      <c r="J26" s="162"/>
      <c r="K26" s="130"/>
      <c r="L26" s="129"/>
      <c r="M26" s="129"/>
      <c r="N26" s="138">
        <f t="shared" si="7"/>
        <v>12</v>
      </c>
      <c r="O26" s="146">
        <f t="shared" si="8"/>
        <v>0.95833333333333348</v>
      </c>
      <c r="P26" s="147">
        <f>Parallélogramme!R44/Parallélogramme!$R$47</f>
        <v>0</v>
      </c>
      <c r="Q26" s="153">
        <f>Parallélogramme!U44/Parallélogramme!$U$47</f>
        <v>3.2051282051282048E-2</v>
      </c>
      <c r="R26" s="148">
        <v>1.9900000000000001E-2</v>
      </c>
      <c r="S26" s="149">
        <f t="shared" si="6"/>
        <v>0</v>
      </c>
      <c r="T26" s="149">
        <f t="shared" si="2"/>
        <v>3.1451718539393277E-2</v>
      </c>
      <c r="U26" s="163"/>
      <c r="V26" s="162"/>
      <c r="W26" s="130"/>
      <c r="X26" s="129"/>
      <c r="Y26" s="129"/>
      <c r="Z26" s="129"/>
    </row>
    <row r="27" spans="2:26" x14ac:dyDescent="0.35">
      <c r="B27" s="111" t="s">
        <v>127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29"/>
      <c r="N27" s="138">
        <f t="shared" si="7"/>
        <v>13</v>
      </c>
      <c r="O27" s="146">
        <f t="shared" si="8"/>
        <v>1.0416666666666667</v>
      </c>
      <c r="P27" s="147">
        <f>Parallélogramme!R45/Parallélogramme!$R$47</f>
        <v>0</v>
      </c>
      <c r="Q27" s="153">
        <f>Parallélogramme!U45/Parallélogramme!$U$47</f>
        <v>1.9230769230769232E-2</v>
      </c>
      <c r="R27" s="148">
        <v>0.02</v>
      </c>
      <c r="S27" s="149">
        <f t="shared" si="6"/>
        <v>0</v>
      </c>
      <c r="T27" s="149">
        <f t="shared" si="2"/>
        <v>1.8838145377800552E-2</v>
      </c>
      <c r="U27" s="103"/>
      <c r="V27" s="103"/>
      <c r="W27" s="103"/>
      <c r="X27" s="103"/>
      <c r="Y27" s="129"/>
      <c r="Z27" s="129"/>
    </row>
    <row r="28" spans="2:26" x14ac:dyDescent="0.35">
      <c r="B28" s="165" t="s">
        <v>89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29"/>
      <c r="N28" s="83">
        <f t="shared" si="7"/>
        <v>14</v>
      </c>
      <c r="O28" s="92">
        <f t="shared" si="8"/>
        <v>1.125</v>
      </c>
      <c r="P28" s="93">
        <f>Parallélogramme!R46/Parallélogramme!$R$47</f>
        <v>0</v>
      </c>
      <c r="Q28" s="94">
        <f>Parallélogramme!U46/Parallélogramme!$U$47</f>
        <v>6.41025641025641E-3</v>
      </c>
      <c r="R28" s="166">
        <v>2.01E-2</v>
      </c>
      <c r="S28" s="90">
        <f t="shared" si="6"/>
        <v>0</v>
      </c>
      <c r="T28" s="90">
        <f t="shared" si="2"/>
        <v>6.2683366183093241E-3</v>
      </c>
      <c r="U28" s="3"/>
      <c r="V28" s="3"/>
      <c r="W28" s="103"/>
      <c r="X28" s="103"/>
      <c r="Y28" s="129"/>
      <c r="Z28" s="129"/>
    </row>
    <row r="29" spans="2:26" x14ac:dyDescent="0.35">
      <c r="B29" s="111" t="s">
        <v>102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29"/>
      <c r="N29" s="156" t="s">
        <v>0</v>
      </c>
      <c r="O29" s="159"/>
      <c r="P29" s="167">
        <f>SUM(P15:P28)</f>
        <v>1</v>
      </c>
      <c r="Q29" s="167">
        <f>SUM(Q15:Q28)</f>
        <v>0.99999999999999989</v>
      </c>
      <c r="R29" s="168"/>
      <c r="S29" s="161">
        <f t="shared" ref="S29:T29" si="9">SUM(S15:S28)</f>
        <v>0.99677351760569399</v>
      </c>
      <c r="T29" s="161">
        <f t="shared" si="9"/>
        <v>0.99131710078262314</v>
      </c>
      <c r="U29" s="160"/>
      <c r="V29" s="161"/>
      <c r="W29" s="103"/>
      <c r="X29" s="103"/>
      <c r="Y29" s="129"/>
      <c r="Z29" s="129"/>
    </row>
    <row r="30" spans="2:26" x14ac:dyDescent="0.35">
      <c r="B30" s="128" t="s">
        <v>94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29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29"/>
      <c r="Z30" s="129"/>
    </row>
    <row r="31" spans="2:26" x14ac:dyDescent="0.35">
      <c r="B31" s="111" t="s">
        <v>15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29"/>
      <c r="N31" s="103" t="s">
        <v>62</v>
      </c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29"/>
      <c r="Z31" s="129"/>
    </row>
    <row r="32" spans="2:26" x14ac:dyDescent="0.35">
      <c r="B32" s="103" t="s">
        <v>101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29"/>
      <c r="N32" s="103" t="s">
        <v>63</v>
      </c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29"/>
      <c r="Z32" s="129"/>
    </row>
    <row r="33" spans="2:26" x14ac:dyDescent="0.35">
      <c r="B33" s="111" t="s">
        <v>16</v>
      </c>
      <c r="C33" s="128"/>
      <c r="D33" s="128"/>
      <c r="E33" s="128"/>
      <c r="F33" s="128"/>
      <c r="G33" s="103"/>
      <c r="H33" s="103"/>
      <c r="I33" s="103"/>
      <c r="J33" s="103"/>
      <c r="K33" s="103"/>
      <c r="L33" s="129"/>
      <c r="M33" s="129"/>
      <c r="N33" s="103" t="s">
        <v>95</v>
      </c>
      <c r="O33" s="128"/>
      <c r="P33" s="128"/>
      <c r="Q33" s="128"/>
      <c r="R33" s="128"/>
      <c r="S33" s="103"/>
      <c r="T33" s="103"/>
      <c r="U33" s="103"/>
      <c r="V33" s="103"/>
      <c r="W33" s="103"/>
      <c r="X33" s="129"/>
      <c r="Y33" s="129"/>
      <c r="Z33" s="129"/>
    </row>
    <row r="34" spans="2:26" x14ac:dyDescent="0.35">
      <c r="B34" s="131"/>
      <c r="C34" s="128"/>
      <c r="D34" s="128"/>
      <c r="E34" s="128"/>
      <c r="F34" s="128"/>
      <c r="G34" s="103"/>
      <c r="H34" s="103"/>
      <c r="I34" s="103"/>
      <c r="J34" s="103"/>
      <c r="K34" s="103"/>
      <c r="L34" s="129"/>
      <c r="M34" s="129"/>
      <c r="N34" s="103" t="s">
        <v>96</v>
      </c>
      <c r="O34" s="128"/>
      <c r="P34" s="128"/>
      <c r="Q34" s="128"/>
      <c r="R34" s="128"/>
      <c r="S34" s="103"/>
      <c r="T34" s="103"/>
      <c r="U34" s="103"/>
      <c r="V34" s="103"/>
      <c r="W34" s="103"/>
      <c r="X34" s="129"/>
      <c r="Y34" s="129"/>
      <c r="Z34" s="129"/>
    </row>
    <row r="35" spans="2:26" x14ac:dyDescent="0.35">
      <c r="B35" s="131"/>
      <c r="C35" s="128"/>
      <c r="D35" s="128"/>
      <c r="E35" s="128"/>
      <c r="F35" s="128"/>
      <c r="G35" s="103"/>
      <c r="H35" s="103"/>
      <c r="I35" s="103"/>
      <c r="J35" s="103"/>
      <c r="K35" s="103"/>
      <c r="L35" s="129"/>
      <c r="M35" s="129"/>
      <c r="N35" s="111" t="s">
        <v>64</v>
      </c>
      <c r="O35" s="128"/>
      <c r="P35" s="128"/>
      <c r="Q35" s="128"/>
      <c r="R35" s="128"/>
      <c r="S35" s="103"/>
      <c r="T35" s="103"/>
      <c r="U35" s="103"/>
      <c r="V35" s="103"/>
      <c r="W35" s="103"/>
      <c r="X35" s="129"/>
      <c r="Y35" s="129"/>
      <c r="Z35" s="129"/>
    </row>
    <row r="36" spans="2:26" x14ac:dyDescent="0.35">
      <c r="B36" s="131"/>
      <c r="C36" s="128"/>
      <c r="D36" s="128"/>
      <c r="E36" s="128"/>
      <c r="F36" s="128"/>
      <c r="G36" s="103"/>
      <c r="H36" s="103"/>
      <c r="I36" s="103"/>
      <c r="J36" s="103"/>
      <c r="K36" s="103"/>
      <c r="L36" s="129"/>
      <c r="M36" s="129"/>
      <c r="N36" s="111" t="s">
        <v>17</v>
      </c>
      <c r="O36" s="128"/>
      <c r="P36" s="128"/>
      <c r="Q36" s="128"/>
      <c r="R36" s="128"/>
      <c r="S36" s="103"/>
      <c r="T36" s="103"/>
      <c r="U36" s="103"/>
      <c r="V36" s="103"/>
      <c r="W36" s="103"/>
      <c r="X36" s="129"/>
      <c r="Y36" s="129"/>
      <c r="Z36" s="129"/>
    </row>
    <row r="37" spans="2:26" x14ac:dyDescent="0.35">
      <c r="B37" s="131"/>
      <c r="C37" s="128"/>
      <c r="D37" s="128"/>
      <c r="E37" s="128"/>
      <c r="F37" s="128"/>
      <c r="G37" s="103"/>
      <c r="H37" s="103"/>
      <c r="I37" s="103"/>
      <c r="J37" s="103"/>
      <c r="K37" s="103"/>
      <c r="L37" s="129"/>
      <c r="M37" s="129"/>
      <c r="N37" s="111" t="s">
        <v>18</v>
      </c>
      <c r="O37" s="128"/>
      <c r="P37" s="128"/>
      <c r="Q37" s="128"/>
      <c r="R37" s="128"/>
      <c r="S37" s="103"/>
      <c r="T37" s="103"/>
      <c r="U37" s="103"/>
      <c r="V37" s="103"/>
      <c r="W37" s="103"/>
      <c r="X37" s="129"/>
      <c r="Y37" s="129"/>
      <c r="Z37" s="129"/>
    </row>
    <row r="38" spans="2:26" x14ac:dyDescent="0.35">
      <c r="B38" s="131"/>
      <c r="C38" s="128"/>
      <c r="D38" s="128"/>
      <c r="E38" s="128"/>
      <c r="F38" s="128"/>
      <c r="G38" s="103"/>
      <c r="H38" s="103"/>
      <c r="I38" s="103"/>
      <c r="J38" s="103"/>
      <c r="K38" s="103"/>
      <c r="L38" s="129"/>
      <c r="M38" s="129"/>
      <c r="N38" s="131"/>
      <c r="O38" s="128"/>
      <c r="P38" s="128"/>
      <c r="Q38" s="128"/>
      <c r="R38" s="128"/>
      <c r="S38" s="103"/>
      <c r="T38" s="103"/>
      <c r="U38" s="103"/>
      <c r="V38" s="103"/>
      <c r="W38" s="103"/>
      <c r="X38" s="129"/>
      <c r="Y38" s="129"/>
      <c r="Z38" s="129"/>
    </row>
    <row r="39" spans="2:26" x14ac:dyDescent="0.35">
      <c r="B39" s="131"/>
      <c r="C39" s="128"/>
      <c r="D39" s="128"/>
      <c r="E39" s="128"/>
      <c r="F39" s="128"/>
      <c r="G39" s="103"/>
      <c r="H39" s="103"/>
      <c r="I39" s="103"/>
      <c r="J39" s="103"/>
      <c r="K39" s="103"/>
      <c r="L39" s="129"/>
      <c r="M39" s="129"/>
      <c r="N39" s="131"/>
      <c r="O39" s="128"/>
      <c r="P39" s="128"/>
      <c r="Q39" s="128"/>
      <c r="R39" s="128"/>
      <c r="S39" s="103"/>
      <c r="T39" s="103"/>
      <c r="U39" s="103"/>
      <c r="V39" s="103"/>
      <c r="W39" s="103"/>
      <c r="X39" s="129"/>
      <c r="Y39" s="129"/>
      <c r="Z39" s="129"/>
    </row>
    <row r="40" spans="2:26" x14ac:dyDescent="0.35">
      <c r="B40" s="131"/>
      <c r="C40" s="128"/>
      <c r="D40" s="128"/>
      <c r="E40" s="128"/>
      <c r="F40" s="128"/>
      <c r="G40" s="103"/>
      <c r="H40" s="103"/>
      <c r="I40" s="103"/>
      <c r="J40" s="103"/>
      <c r="K40" s="103"/>
      <c r="L40" s="129"/>
      <c r="M40" s="129"/>
      <c r="N40" s="131"/>
      <c r="O40" s="128"/>
      <c r="P40" s="128"/>
      <c r="Q40" s="128"/>
      <c r="R40" s="128"/>
      <c r="S40" s="103"/>
      <c r="T40" s="103"/>
      <c r="U40" s="103"/>
      <c r="V40" s="103"/>
      <c r="W40" s="103"/>
      <c r="X40" s="129"/>
      <c r="Y40" s="129"/>
      <c r="Z40" s="129"/>
    </row>
    <row r="41" spans="2:26" x14ac:dyDescent="0.35">
      <c r="B41" s="131"/>
      <c r="C41" s="128"/>
      <c r="D41" s="128"/>
      <c r="E41" s="128"/>
      <c r="F41" s="128"/>
      <c r="G41" s="103"/>
      <c r="H41" s="103"/>
      <c r="I41" s="103"/>
      <c r="J41" s="103"/>
      <c r="K41" s="103"/>
      <c r="L41" s="129"/>
      <c r="M41" s="129"/>
      <c r="N41" s="131"/>
      <c r="O41" s="128"/>
      <c r="P41" s="128"/>
      <c r="Q41" s="128"/>
      <c r="R41" s="128"/>
      <c r="S41" s="103"/>
      <c r="T41" s="103"/>
      <c r="U41" s="103"/>
      <c r="V41" s="103"/>
      <c r="W41" s="103"/>
      <c r="X41" s="129"/>
      <c r="Y41" s="129"/>
      <c r="Z41" s="129"/>
    </row>
    <row r="42" spans="2:26" x14ac:dyDescent="0.35">
      <c r="B42" s="131"/>
      <c r="C42" s="128"/>
      <c r="D42" s="128"/>
      <c r="E42" s="128"/>
      <c r="F42" s="128"/>
      <c r="G42" s="103"/>
      <c r="H42" s="103"/>
      <c r="I42" s="103"/>
      <c r="J42" s="103"/>
      <c r="K42" s="103"/>
      <c r="L42" s="129"/>
      <c r="M42" s="129"/>
      <c r="N42" s="131"/>
      <c r="O42" s="128"/>
      <c r="P42" s="128"/>
      <c r="Q42" s="128"/>
      <c r="R42" s="128"/>
      <c r="S42" s="103"/>
      <c r="T42" s="103"/>
      <c r="U42" s="103"/>
      <c r="V42" s="103"/>
      <c r="W42" s="103"/>
      <c r="X42" s="129"/>
      <c r="Y42" s="129"/>
      <c r="Z42" s="129"/>
    </row>
    <row r="43" spans="2:26" x14ac:dyDescent="0.35">
      <c r="G43"/>
      <c r="H43"/>
      <c r="I43"/>
      <c r="J43"/>
      <c r="K43"/>
      <c r="S43"/>
      <c r="T43"/>
      <c r="U43"/>
      <c r="V43"/>
      <c r="W43"/>
    </row>
    <row r="44" spans="2:26" x14ac:dyDescent="0.35">
      <c r="G44"/>
      <c r="H44"/>
      <c r="I44"/>
      <c r="J44"/>
      <c r="K44"/>
      <c r="S44"/>
      <c r="T44"/>
      <c r="U44"/>
      <c r="V44"/>
      <c r="W44"/>
    </row>
    <row r="45" spans="2:26" x14ac:dyDescent="0.35">
      <c r="G45"/>
      <c r="H45"/>
      <c r="I45"/>
      <c r="J45"/>
      <c r="K45"/>
      <c r="S45"/>
      <c r="T45"/>
      <c r="U45"/>
      <c r="V45"/>
      <c r="W45"/>
    </row>
    <row r="46" spans="2:26" x14ac:dyDescent="0.35">
      <c r="G46"/>
      <c r="H46"/>
      <c r="I46"/>
      <c r="J46"/>
      <c r="K46"/>
      <c r="S46"/>
      <c r="T46"/>
      <c r="U46"/>
      <c r="V46"/>
      <c r="W46"/>
    </row>
    <row r="47" spans="2:26" x14ac:dyDescent="0.35">
      <c r="G47"/>
      <c r="H47"/>
      <c r="I47"/>
      <c r="J47"/>
      <c r="K47"/>
      <c r="S47"/>
      <c r="T47"/>
      <c r="U47"/>
      <c r="V47"/>
      <c r="W47"/>
    </row>
    <row r="48" spans="2:26" x14ac:dyDescent="0.35">
      <c r="G48"/>
      <c r="H48"/>
      <c r="I48"/>
      <c r="J48"/>
      <c r="K48"/>
      <c r="S48"/>
      <c r="T48"/>
      <c r="U48"/>
      <c r="V48"/>
      <c r="W48"/>
    </row>
    <row r="49" spans="7:23" x14ac:dyDescent="0.35">
      <c r="G49"/>
      <c r="H49"/>
      <c r="I49"/>
      <c r="J49"/>
      <c r="K49"/>
      <c r="S49"/>
      <c r="T49"/>
      <c r="U49"/>
      <c r="V49"/>
      <c r="W49"/>
    </row>
    <row r="50" spans="7:23" x14ac:dyDescent="0.35">
      <c r="G50"/>
      <c r="H50"/>
      <c r="I50"/>
      <c r="J50"/>
      <c r="K50"/>
      <c r="S50"/>
      <c r="T50"/>
      <c r="U50"/>
      <c r="V50"/>
      <c r="W50"/>
    </row>
    <row r="51" spans="7:23" x14ac:dyDescent="0.35">
      <c r="G51"/>
      <c r="H51"/>
      <c r="I51"/>
      <c r="J51"/>
      <c r="K51"/>
      <c r="S51"/>
      <c r="T51"/>
      <c r="U51"/>
      <c r="V51"/>
      <c r="W51"/>
    </row>
    <row r="52" spans="7:23" x14ac:dyDescent="0.35">
      <c r="G52"/>
      <c r="H52"/>
      <c r="I52"/>
      <c r="J52"/>
      <c r="K52"/>
      <c r="S52"/>
      <c r="T52"/>
      <c r="U52"/>
      <c r="V52"/>
      <c r="W52"/>
    </row>
    <row r="53" spans="7:23" x14ac:dyDescent="0.35">
      <c r="G53"/>
      <c r="H53"/>
      <c r="I53"/>
      <c r="J53"/>
      <c r="K53"/>
      <c r="S53"/>
      <c r="T53"/>
      <c r="U53"/>
      <c r="V53"/>
      <c r="W53"/>
    </row>
    <row r="54" spans="7:23" x14ac:dyDescent="0.35">
      <c r="G54"/>
      <c r="H54"/>
      <c r="I54"/>
      <c r="J54"/>
      <c r="K54"/>
      <c r="S54"/>
      <c r="T54"/>
      <c r="U54"/>
      <c r="V54"/>
      <c r="W54"/>
    </row>
    <row r="55" spans="7:23" x14ac:dyDescent="0.35">
      <c r="G55"/>
      <c r="H55"/>
      <c r="I55"/>
      <c r="J55"/>
      <c r="K55"/>
      <c r="S55"/>
      <c r="T55"/>
      <c r="U55"/>
      <c r="V55"/>
      <c r="W55"/>
    </row>
    <row r="56" spans="7:23" x14ac:dyDescent="0.35">
      <c r="G56"/>
      <c r="H56"/>
      <c r="I56"/>
      <c r="J56"/>
      <c r="K56"/>
      <c r="S56"/>
      <c r="T56"/>
      <c r="U56"/>
      <c r="V56"/>
      <c r="W56"/>
    </row>
    <row r="57" spans="7:23" x14ac:dyDescent="0.35">
      <c r="G57"/>
      <c r="H57"/>
      <c r="I57"/>
      <c r="J57"/>
      <c r="K57"/>
      <c r="S57"/>
      <c r="T57"/>
      <c r="U57"/>
      <c r="V57"/>
      <c r="W57"/>
    </row>
    <row r="58" spans="7:23" x14ac:dyDescent="0.35">
      <c r="G58"/>
      <c r="H58"/>
      <c r="I58"/>
      <c r="J58"/>
      <c r="K58"/>
      <c r="S58"/>
      <c r="T58"/>
      <c r="U58"/>
      <c r="V58"/>
      <c r="W58"/>
    </row>
    <row r="59" spans="7:23" x14ac:dyDescent="0.35">
      <c r="G59"/>
      <c r="H59"/>
      <c r="I59"/>
      <c r="J59"/>
      <c r="K59"/>
      <c r="S59"/>
      <c r="T59"/>
      <c r="U59"/>
      <c r="V59"/>
      <c r="W59"/>
    </row>
    <row r="60" spans="7:23" x14ac:dyDescent="0.35">
      <c r="G60"/>
      <c r="H60"/>
      <c r="I60"/>
      <c r="J60"/>
      <c r="K60"/>
      <c r="S60"/>
      <c r="T60"/>
      <c r="U60"/>
      <c r="V60"/>
      <c r="W60"/>
    </row>
    <row r="61" spans="7:23" x14ac:dyDescent="0.35">
      <c r="G61"/>
      <c r="H61"/>
      <c r="I61"/>
      <c r="J61"/>
      <c r="K61"/>
      <c r="S61"/>
      <c r="T61"/>
      <c r="U61"/>
      <c r="V61"/>
      <c r="W61"/>
    </row>
    <row r="62" spans="7:23" x14ac:dyDescent="0.35">
      <c r="G62"/>
      <c r="H62"/>
      <c r="I62"/>
      <c r="J62"/>
      <c r="K62"/>
      <c r="S62"/>
      <c r="T62"/>
      <c r="U62"/>
      <c r="V62"/>
      <c r="W62"/>
    </row>
    <row r="63" spans="7:23" x14ac:dyDescent="0.35">
      <c r="G63"/>
      <c r="H63"/>
      <c r="I63"/>
      <c r="J63"/>
      <c r="K63"/>
      <c r="S63"/>
      <c r="T63"/>
      <c r="U63"/>
      <c r="V63"/>
      <c r="W63"/>
    </row>
    <row r="64" spans="7:23" x14ac:dyDescent="0.35">
      <c r="G64"/>
      <c r="H64"/>
      <c r="I64"/>
      <c r="J64"/>
      <c r="K64"/>
      <c r="S64"/>
      <c r="T64"/>
      <c r="U64"/>
      <c r="V64"/>
      <c r="W64"/>
    </row>
    <row r="65" spans="7:23" x14ac:dyDescent="0.35">
      <c r="G65"/>
      <c r="H65"/>
      <c r="I65"/>
      <c r="J65"/>
      <c r="K65"/>
      <c r="S65"/>
      <c r="T65"/>
      <c r="U65"/>
      <c r="V65"/>
      <c r="W65"/>
    </row>
    <row r="66" spans="7:23" x14ac:dyDescent="0.35">
      <c r="G66"/>
      <c r="H66"/>
      <c r="I66"/>
      <c r="J66"/>
      <c r="K66"/>
      <c r="S66"/>
      <c r="T66"/>
      <c r="U66"/>
      <c r="V66"/>
      <c r="W66"/>
    </row>
    <row r="67" spans="7:23" x14ac:dyDescent="0.35">
      <c r="G67"/>
      <c r="H67"/>
      <c r="I67"/>
      <c r="J67"/>
      <c r="K67"/>
      <c r="S67"/>
      <c r="T67"/>
      <c r="U67"/>
      <c r="V67"/>
      <c r="W67"/>
    </row>
    <row r="68" spans="7:23" x14ac:dyDescent="0.35">
      <c r="G68"/>
      <c r="H68"/>
      <c r="I68"/>
      <c r="J68"/>
      <c r="K68"/>
      <c r="S68"/>
      <c r="T68"/>
      <c r="U68"/>
      <c r="V68"/>
      <c r="W68"/>
    </row>
    <row r="69" spans="7:23" x14ac:dyDescent="0.35">
      <c r="G69"/>
      <c r="H69"/>
      <c r="I69"/>
      <c r="J69"/>
      <c r="K69"/>
      <c r="S69"/>
      <c r="T69"/>
      <c r="U69"/>
      <c r="V69"/>
      <c r="W69"/>
    </row>
    <row r="70" spans="7:23" x14ac:dyDescent="0.35">
      <c r="G70"/>
      <c r="H70"/>
      <c r="I70"/>
      <c r="J70"/>
      <c r="K70"/>
      <c r="S70"/>
      <c r="T70"/>
      <c r="U70"/>
      <c r="V70"/>
      <c r="W70"/>
    </row>
    <row r="71" spans="7:23" x14ac:dyDescent="0.35">
      <c r="G71"/>
      <c r="H71"/>
      <c r="I71"/>
      <c r="J71"/>
      <c r="K71"/>
      <c r="S71"/>
      <c r="T71"/>
      <c r="U71"/>
      <c r="V71"/>
      <c r="W71"/>
    </row>
    <row r="72" spans="7:23" x14ac:dyDescent="0.35">
      <c r="G72"/>
      <c r="H72"/>
      <c r="I72"/>
      <c r="J72"/>
      <c r="K72"/>
      <c r="S72"/>
      <c r="T72"/>
      <c r="U72"/>
      <c r="V72"/>
      <c r="W72"/>
    </row>
    <row r="73" spans="7:23" x14ac:dyDescent="0.35">
      <c r="G73"/>
      <c r="H73"/>
      <c r="I73"/>
      <c r="J73"/>
      <c r="K73"/>
      <c r="S73"/>
      <c r="T73"/>
      <c r="U73"/>
      <c r="V73"/>
      <c r="W73"/>
    </row>
    <row r="74" spans="7:23" x14ac:dyDescent="0.35">
      <c r="G74"/>
      <c r="H74"/>
      <c r="I74"/>
      <c r="J74"/>
      <c r="K74"/>
      <c r="S74"/>
      <c r="T74"/>
      <c r="U74"/>
      <c r="V74"/>
      <c r="W74"/>
    </row>
    <row r="75" spans="7:23" x14ac:dyDescent="0.35">
      <c r="G75"/>
      <c r="H75"/>
      <c r="I75"/>
      <c r="J75"/>
      <c r="K75"/>
      <c r="S75"/>
      <c r="T75"/>
      <c r="U75"/>
      <c r="V75"/>
      <c r="W75"/>
    </row>
    <row r="76" spans="7:23" x14ac:dyDescent="0.35">
      <c r="G76"/>
      <c r="H76"/>
      <c r="I76"/>
      <c r="J76"/>
      <c r="K76"/>
      <c r="S76"/>
      <c r="T76"/>
      <c r="U76"/>
      <c r="V76"/>
      <c r="W76"/>
    </row>
    <row r="77" spans="7:23" x14ac:dyDescent="0.35">
      <c r="G77"/>
      <c r="H77"/>
      <c r="I77"/>
      <c r="J77"/>
      <c r="K77"/>
      <c r="S77"/>
      <c r="T77"/>
      <c r="U77"/>
      <c r="V77"/>
      <c r="W77"/>
    </row>
    <row r="78" spans="7:23" x14ac:dyDescent="0.35">
      <c r="G78"/>
      <c r="H78"/>
      <c r="I78"/>
      <c r="J78"/>
      <c r="K78"/>
      <c r="S78"/>
      <c r="T78"/>
      <c r="U78"/>
      <c r="V78"/>
      <c r="W78"/>
    </row>
    <row r="79" spans="7:23" x14ac:dyDescent="0.35">
      <c r="G79"/>
      <c r="H79"/>
      <c r="I79"/>
      <c r="J79"/>
      <c r="K79"/>
      <c r="S79"/>
      <c r="T79"/>
      <c r="U79"/>
      <c r="V79"/>
      <c r="W79"/>
    </row>
    <row r="80" spans="7:23" x14ac:dyDescent="0.35">
      <c r="G80"/>
      <c r="H80"/>
      <c r="I80"/>
      <c r="J80"/>
      <c r="K80"/>
      <c r="S80"/>
      <c r="T80"/>
      <c r="U80"/>
      <c r="V80"/>
      <c r="W80"/>
    </row>
    <row r="81" spans="7:23" x14ac:dyDescent="0.35">
      <c r="G81"/>
      <c r="H81"/>
      <c r="I81"/>
      <c r="J81"/>
      <c r="K81"/>
      <c r="S81"/>
      <c r="T81"/>
      <c r="U81"/>
      <c r="V81"/>
      <c r="W81"/>
    </row>
    <row r="82" spans="7:23" x14ac:dyDescent="0.35">
      <c r="G82"/>
      <c r="H82"/>
      <c r="I82"/>
      <c r="J82"/>
      <c r="K82"/>
      <c r="S82"/>
      <c r="T82"/>
      <c r="U82"/>
      <c r="V82"/>
      <c r="W82"/>
    </row>
    <row r="83" spans="7:23" x14ac:dyDescent="0.35">
      <c r="G83"/>
      <c r="H83"/>
      <c r="I83"/>
      <c r="J83"/>
      <c r="K83"/>
      <c r="S83"/>
      <c r="T83"/>
      <c r="U83"/>
      <c r="V83"/>
      <c r="W83"/>
    </row>
    <row r="84" spans="7:23" x14ac:dyDescent="0.35">
      <c r="G84"/>
      <c r="H84"/>
      <c r="I84"/>
      <c r="J84"/>
      <c r="K84"/>
      <c r="S84"/>
      <c r="T84"/>
      <c r="U84"/>
      <c r="V84"/>
      <c r="W84"/>
    </row>
    <row r="85" spans="7:23" x14ac:dyDescent="0.35">
      <c r="G85"/>
      <c r="H85"/>
      <c r="I85"/>
      <c r="J85"/>
      <c r="K85"/>
      <c r="S85"/>
      <c r="T85"/>
      <c r="U85"/>
      <c r="V85"/>
      <c r="W85"/>
    </row>
    <row r="86" spans="7:23" x14ac:dyDescent="0.35">
      <c r="G86"/>
      <c r="H86"/>
      <c r="I86"/>
      <c r="J86"/>
      <c r="K86"/>
      <c r="S86"/>
      <c r="T86"/>
      <c r="U86"/>
      <c r="V86"/>
      <c r="W86"/>
    </row>
    <row r="87" spans="7:23" x14ac:dyDescent="0.35">
      <c r="G87"/>
      <c r="H87"/>
      <c r="I87"/>
      <c r="J87"/>
      <c r="K87"/>
      <c r="S87"/>
      <c r="T87"/>
      <c r="U87"/>
      <c r="V87"/>
      <c r="W87"/>
    </row>
    <row r="88" spans="7:23" x14ac:dyDescent="0.35">
      <c r="G88"/>
      <c r="H88"/>
      <c r="I88"/>
      <c r="J88"/>
      <c r="K88"/>
      <c r="S88"/>
      <c r="T88"/>
      <c r="U88"/>
      <c r="V88"/>
      <c r="W88"/>
    </row>
  </sheetData>
  <pageMargins left="0.7" right="0.7" top="0.75" bottom="0.75" header="0.3" footer="0.3"/>
  <pageSetup scale="71" orientation="portrait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9B00-EA21-43A6-AF44-628F5C2B7692}">
  <dimension ref="A1:U54"/>
  <sheetViews>
    <sheetView showGridLines="0" tabSelected="1" zoomScale="115" zoomScaleNormal="115" workbookViewId="0"/>
  </sheetViews>
  <sheetFormatPr defaultColWidth="9.1796875" defaultRowHeight="14.5" x14ac:dyDescent="0.35"/>
  <cols>
    <col min="1" max="1" width="4.453125" customWidth="1"/>
    <col min="2" max="2" width="9.1796875" customWidth="1"/>
    <col min="17" max="17" width="16.54296875" customWidth="1"/>
    <col min="18" max="18" width="15.453125" bestFit="1" customWidth="1"/>
    <col min="19" max="19" width="33.453125" bestFit="1" customWidth="1"/>
    <col min="20" max="21" width="16.54296875" customWidth="1"/>
  </cols>
  <sheetData>
    <row r="1" spans="1:19" ht="17" x14ac:dyDescent="0.4">
      <c r="A1" s="100" t="s">
        <v>76</v>
      </c>
    </row>
    <row r="3" spans="1:19" x14ac:dyDescent="0.35">
      <c r="A3" s="31" t="s">
        <v>26</v>
      </c>
    </row>
    <row r="4" spans="1:19" x14ac:dyDescent="0.35">
      <c r="E4" s="31"/>
    </row>
    <row r="6" spans="1:19" ht="15" customHeight="1" x14ac:dyDescent="0.35">
      <c r="P6" s="101" t="s">
        <v>59</v>
      </c>
      <c r="Q6" s="114" t="s">
        <v>77</v>
      </c>
      <c r="R6" s="114" t="s">
        <v>136</v>
      </c>
      <c r="S6" s="114" t="s">
        <v>137</v>
      </c>
    </row>
    <row r="7" spans="1:19" x14ac:dyDescent="0.35">
      <c r="P7" s="99">
        <f>1/24</f>
        <v>4.1666666666666664E-2</v>
      </c>
      <c r="Q7" s="99">
        <v>12</v>
      </c>
      <c r="R7" s="99">
        <v>11.5</v>
      </c>
      <c r="S7" s="99">
        <v>0.5</v>
      </c>
    </row>
    <row r="8" spans="1:19" x14ac:dyDescent="0.35">
      <c r="P8" s="99">
        <f t="shared" ref="P8:P20" si="0">P7+1/12</f>
        <v>0.125</v>
      </c>
      <c r="Q8" s="99">
        <v>12</v>
      </c>
      <c r="R8" s="99">
        <v>10.5</v>
      </c>
      <c r="S8" s="99">
        <f>S7+1</f>
        <v>1.5</v>
      </c>
    </row>
    <row r="9" spans="1:19" x14ac:dyDescent="0.35">
      <c r="P9" s="99">
        <f t="shared" si="0"/>
        <v>0.20833333333333331</v>
      </c>
      <c r="Q9" s="99">
        <v>12</v>
      </c>
      <c r="R9" s="99">
        <v>9.5</v>
      </c>
      <c r="S9" s="99">
        <v>2</v>
      </c>
    </row>
    <row r="10" spans="1:19" x14ac:dyDescent="0.35">
      <c r="P10" s="99">
        <f t="shared" si="0"/>
        <v>0.29166666666666663</v>
      </c>
      <c r="Q10" s="99">
        <v>12</v>
      </c>
      <c r="R10" s="99">
        <v>8.5</v>
      </c>
      <c r="S10" s="99">
        <v>2</v>
      </c>
    </row>
    <row r="11" spans="1:19" x14ac:dyDescent="0.35">
      <c r="P11" s="99">
        <f t="shared" si="0"/>
        <v>0.37499999999999994</v>
      </c>
      <c r="Q11" s="99">
        <v>12</v>
      </c>
      <c r="R11" s="99">
        <v>7.5</v>
      </c>
      <c r="S11" s="99">
        <v>2</v>
      </c>
    </row>
    <row r="12" spans="1:19" x14ac:dyDescent="0.35">
      <c r="P12" s="99">
        <f t="shared" si="0"/>
        <v>0.45833333333333326</v>
      </c>
      <c r="Q12" s="99">
        <v>12</v>
      </c>
      <c r="R12" s="99">
        <v>6.5</v>
      </c>
      <c r="S12" s="99">
        <v>2</v>
      </c>
    </row>
    <row r="13" spans="1:19" x14ac:dyDescent="0.35">
      <c r="P13" s="99">
        <f t="shared" si="0"/>
        <v>0.54166666666666663</v>
      </c>
      <c r="Q13" s="99">
        <v>12</v>
      </c>
      <c r="R13" s="99">
        <v>5.5</v>
      </c>
      <c r="S13" s="99">
        <v>2</v>
      </c>
    </row>
    <row r="14" spans="1:19" x14ac:dyDescent="0.35">
      <c r="P14" s="99">
        <f t="shared" si="0"/>
        <v>0.625</v>
      </c>
      <c r="Q14" s="99">
        <v>12</v>
      </c>
      <c r="R14" s="99">
        <v>4.5</v>
      </c>
      <c r="S14" s="99">
        <v>2</v>
      </c>
    </row>
    <row r="15" spans="1:19" x14ac:dyDescent="0.35">
      <c r="P15" s="99">
        <f t="shared" si="0"/>
        <v>0.70833333333333337</v>
      </c>
      <c r="Q15" s="99">
        <v>12</v>
      </c>
      <c r="R15" s="99">
        <v>3.5</v>
      </c>
      <c r="S15" s="99">
        <v>2</v>
      </c>
    </row>
    <row r="16" spans="1:19" x14ac:dyDescent="0.35">
      <c r="P16" s="99">
        <f t="shared" si="0"/>
        <v>0.79166666666666674</v>
      </c>
      <c r="Q16" s="99">
        <v>12</v>
      </c>
      <c r="R16" s="99">
        <v>2.5</v>
      </c>
      <c r="S16" s="99">
        <v>2</v>
      </c>
    </row>
    <row r="17" spans="1:21" x14ac:dyDescent="0.35">
      <c r="P17" s="99">
        <f t="shared" si="0"/>
        <v>0.87500000000000011</v>
      </c>
      <c r="Q17" s="99">
        <v>12</v>
      </c>
      <c r="R17" s="99">
        <v>1.5</v>
      </c>
      <c r="S17" s="99">
        <v>2</v>
      </c>
    </row>
    <row r="18" spans="1:21" x14ac:dyDescent="0.35">
      <c r="P18" s="99">
        <f t="shared" si="0"/>
        <v>0.95833333333333348</v>
      </c>
      <c r="Q18" s="99">
        <v>12</v>
      </c>
      <c r="R18" s="99">
        <v>0.5</v>
      </c>
      <c r="S18" s="99">
        <v>2</v>
      </c>
    </row>
    <row r="19" spans="1:21" x14ac:dyDescent="0.35">
      <c r="P19" s="99">
        <f t="shared" si="0"/>
        <v>1.0416666666666667</v>
      </c>
      <c r="Q19" s="99"/>
      <c r="S19" s="99">
        <v>1.5</v>
      </c>
    </row>
    <row r="20" spans="1:21" x14ac:dyDescent="0.35">
      <c r="P20" s="99">
        <f t="shared" si="0"/>
        <v>1.125</v>
      </c>
      <c r="Q20" s="99"/>
      <c r="S20" s="99">
        <v>0.5</v>
      </c>
    </row>
    <row r="21" spans="1:21" x14ac:dyDescent="0.35">
      <c r="P21" s="31" t="s">
        <v>0</v>
      </c>
      <c r="Q21" s="116">
        <f>SUM(Q7:Q20)</f>
        <v>144</v>
      </c>
      <c r="R21" s="116">
        <f>SUM(R7:R20)</f>
        <v>72</v>
      </c>
      <c r="S21" s="116">
        <f>SUM(S7:S20)</f>
        <v>24</v>
      </c>
    </row>
    <row r="22" spans="1:21" x14ac:dyDescent="0.35">
      <c r="P22" s="31" t="s">
        <v>78</v>
      </c>
      <c r="Q22" s="102">
        <f>SUMPRODUCT(Q7:Q20,$P$7:$P$20)/SUM(Q7:Q20)</f>
        <v>0.5</v>
      </c>
      <c r="R22" s="102">
        <f t="shared" ref="R22:S22" si="1">SUMPRODUCT(R7:R20,$P$7:$P$20)/SUM(R7:R20)</f>
        <v>0.33449074074074076</v>
      </c>
      <c r="S22" s="102">
        <f t="shared" si="1"/>
        <v>0.58333333333333337</v>
      </c>
    </row>
    <row r="26" spans="1:21" x14ac:dyDescent="0.35">
      <c r="C26" t="s">
        <v>79</v>
      </c>
    </row>
    <row r="27" spans="1:21" x14ac:dyDescent="0.35">
      <c r="C27" t="s">
        <v>80</v>
      </c>
    </row>
    <row r="29" spans="1:21" x14ac:dyDescent="0.35">
      <c r="A29" s="31" t="s">
        <v>68</v>
      </c>
    </row>
    <row r="32" spans="1:21" ht="15" customHeight="1" x14ac:dyDescent="0.35">
      <c r="P32" s="101" t="s">
        <v>59</v>
      </c>
      <c r="Q32" s="114" t="s">
        <v>77</v>
      </c>
      <c r="R32" s="114" t="s">
        <v>136</v>
      </c>
      <c r="S32" s="114" t="s">
        <v>138</v>
      </c>
      <c r="T32" s="114" t="s">
        <v>139</v>
      </c>
      <c r="U32" s="114" t="s">
        <v>137</v>
      </c>
    </row>
    <row r="33" spans="16:21" x14ac:dyDescent="0.35">
      <c r="P33" s="99">
        <f>1/24</f>
        <v>4.1666666666666664E-2</v>
      </c>
      <c r="Q33" s="115">
        <v>12</v>
      </c>
      <c r="R33" s="115">
        <v>5.5</v>
      </c>
      <c r="S33" s="115">
        <v>6</v>
      </c>
      <c r="T33" s="115">
        <v>0.5</v>
      </c>
      <c r="U33" s="115">
        <f>S33+T33</f>
        <v>6.5</v>
      </c>
    </row>
    <row r="34" spans="16:21" x14ac:dyDescent="0.35">
      <c r="P34" s="99">
        <f t="shared" ref="P34:P46" si="2">P33+1/12</f>
        <v>0.125</v>
      </c>
      <c r="Q34" s="115">
        <v>12</v>
      </c>
      <c r="R34" s="115">
        <v>4.5</v>
      </c>
      <c r="S34" s="115">
        <v>6</v>
      </c>
      <c r="T34" s="115">
        <f>T33+1</f>
        <v>1.5</v>
      </c>
      <c r="U34" s="115">
        <f t="shared" ref="U34:U46" si="3">S34+T34</f>
        <v>7.5</v>
      </c>
    </row>
    <row r="35" spans="16:21" x14ac:dyDescent="0.35">
      <c r="P35" s="99">
        <f t="shared" si="2"/>
        <v>0.20833333333333331</v>
      </c>
      <c r="Q35" s="115">
        <v>12</v>
      </c>
      <c r="R35" s="115">
        <v>3.5</v>
      </c>
      <c r="S35" s="115">
        <v>6</v>
      </c>
      <c r="T35" s="115">
        <v>2</v>
      </c>
      <c r="U35" s="115">
        <f t="shared" si="3"/>
        <v>8</v>
      </c>
    </row>
    <row r="36" spans="16:21" x14ac:dyDescent="0.35">
      <c r="P36" s="99">
        <f t="shared" si="2"/>
        <v>0.29166666666666663</v>
      </c>
      <c r="Q36" s="115">
        <v>12</v>
      </c>
      <c r="R36" s="115">
        <v>2.5</v>
      </c>
      <c r="S36" s="115">
        <v>6</v>
      </c>
      <c r="T36" s="115">
        <v>2</v>
      </c>
      <c r="U36" s="115">
        <f t="shared" si="3"/>
        <v>8</v>
      </c>
    </row>
    <row r="37" spans="16:21" x14ac:dyDescent="0.35">
      <c r="P37" s="99">
        <f t="shared" si="2"/>
        <v>0.37499999999999994</v>
      </c>
      <c r="Q37" s="115">
        <v>12</v>
      </c>
      <c r="R37" s="115">
        <v>1.5</v>
      </c>
      <c r="S37" s="115">
        <v>6</v>
      </c>
      <c r="T37" s="115">
        <v>2</v>
      </c>
      <c r="U37" s="115">
        <f t="shared" si="3"/>
        <v>8</v>
      </c>
    </row>
    <row r="38" spans="16:21" x14ac:dyDescent="0.35">
      <c r="P38" s="99">
        <f t="shared" si="2"/>
        <v>0.45833333333333326</v>
      </c>
      <c r="Q38" s="115">
        <v>12</v>
      </c>
      <c r="R38" s="115">
        <v>0.5</v>
      </c>
      <c r="S38" s="115">
        <v>6</v>
      </c>
      <c r="T38" s="115">
        <v>2</v>
      </c>
      <c r="U38" s="115">
        <f t="shared" si="3"/>
        <v>8</v>
      </c>
    </row>
    <row r="39" spans="16:21" x14ac:dyDescent="0.35">
      <c r="P39" s="99">
        <f t="shared" si="2"/>
        <v>0.54166666666666663</v>
      </c>
      <c r="Q39" s="115">
        <v>12</v>
      </c>
      <c r="R39" s="115">
        <v>0</v>
      </c>
      <c r="S39" s="115">
        <v>5.5</v>
      </c>
      <c r="T39" s="115">
        <v>2</v>
      </c>
      <c r="U39" s="115">
        <f t="shared" si="3"/>
        <v>7.5</v>
      </c>
    </row>
    <row r="40" spans="16:21" x14ac:dyDescent="0.35">
      <c r="P40" s="99">
        <f t="shared" si="2"/>
        <v>0.625</v>
      </c>
      <c r="Q40" s="115">
        <v>12</v>
      </c>
      <c r="R40" s="115">
        <v>0</v>
      </c>
      <c r="S40" s="115">
        <v>4.5</v>
      </c>
      <c r="T40" s="115">
        <v>2</v>
      </c>
      <c r="U40" s="115">
        <f t="shared" si="3"/>
        <v>6.5</v>
      </c>
    </row>
    <row r="41" spans="16:21" x14ac:dyDescent="0.35">
      <c r="P41" s="99">
        <f t="shared" si="2"/>
        <v>0.70833333333333337</v>
      </c>
      <c r="Q41" s="115">
        <v>12</v>
      </c>
      <c r="R41" s="115">
        <v>0</v>
      </c>
      <c r="S41" s="115">
        <v>3.5</v>
      </c>
      <c r="T41" s="115">
        <v>2</v>
      </c>
      <c r="U41" s="115">
        <f t="shared" si="3"/>
        <v>5.5</v>
      </c>
    </row>
    <row r="42" spans="16:21" x14ac:dyDescent="0.35">
      <c r="P42" s="99">
        <f t="shared" si="2"/>
        <v>0.79166666666666674</v>
      </c>
      <c r="Q42" s="115">
        <v>12</v>
      </c>
      <c r="R42" s="115">
        <v>0</v>
      </c>
      <c r="S42" s="115">
        <v>2.5</v>
      </c>
      <c r="T42" s="115">
        <v>2</v>
      </c>
      <c r="U42" s="115">
        <f t="shared" si="3"/>
        <v>4.5</v>
      </c>
    </row>
    <row r="43" spans="16:21" x14ac:dyDescent="0.35">
      <c r="P43" s="99">
        <f t="shared" si="2"/>
        <v>0.87500000000000011</v>
      </c>
      <c r="Q43" s="115">
        <v>12</v>
      </c>
      <c r="R43" s="115">
        <v>0</v>
      </c>
      <c r="S43" s="115">
        <v>1.5</v>
      </c>
      <c r="T43" s="115">
        <v>2</v>
      </c>
      <c r="U43" s="115">
        <f t="shared" si="3"/>
        <v>3.5</v>
      </c>
    </row>
    <row r="44" spans="16:21" x14ac:dyDescent="0.35">
      <c r="P44" s="99">
        <f t="shared" si="2"/>
        <v>0.95833333333333348</v>
      </c>
      <c r="Q44" s="115">
        <v>12</v>
      </c>
      <c r="R44" s="115">
        <v>0</v>
      </c>
      <c r="S44" s="115">
        <v>0.5</v>
      </c>
      <c r="T44" s="115">
        <v>2</v>
      </c>
      <c r="U44" s="115">
        <f t="shared" si="3"/>
        <v>2.5</v>
      </c>
    </row>
    <row r="45" spans="16:21" x14ac:dyDescent="0.35">
      <c r="P45" s="99">
        <f t="shared" si="2"/>
        <v>1.0416666666666667</v>
      </c>
      <c r="Q45" s="115"/>
      <c r="R45" s="115"/>
      <c r="S45" s="115"/>
      <c r="T45" s="115">
        <v>1.5</v>
      </c>
      <c r="U45" s="115">
        <f t="shared" si="3"/>
        <v>1.5</v>
      </c>
    </row>
    <row r="46" spans="16:21" x14ac:dyDescent="0.35">
      <c r="P46" s="99">
        <f t="shared" si="2"/>
        <v>1.125</v>
      </c>
      <c r="Q46" s="115"/>
      <c r="R46" s="115"/>
      <c r="S46" s="115"/>
      <c r="T46" s="115">
        <v>0.5</v>
      </c>
      <c r="U46" s="115">
        <f t="shared" si="3"/>
        <v>0.5</v>
      </c>
    </row>
    <row r="47" spans="16:21" x14ac:dyDescent="0.35">
      <c r="P47" s="31" t="s">
        <v>0</v>
      </c>
      <c r="Q47" s="116">
        <f>SUM(Q33:Q46)</f>
        <v>144</v>
      </c>
      <c r="R47" s="116">
        <f>SUM(R33:R46)</f>
        <v>18</v>
      </c>
      <c r="S47" s="116">
        <f>SUM(S33:S46)</f>
        <v>54</v>
      </c>
      <c r="T47" s="116">
        <f t="shared" ref="T47:U47" si="4">SUM(T33:T46)</f>
        <v>24</v>
      </c>
      <c r="U47" s="116">
        <f t="shared" si="4"/>
        <v>78</v>
      </c>
    </row>
    <row r="48" spans="16:21" x14ac:dyDescent="0.35">
      <c r="P48" s="31" t="s">
        <v>78</v>
      </c>
      <c r="Q48" s="102">
        <f>SUMPRODUCT(Q33:Q46,$P$33:$P$46)/SUM(Q33:Q46)</f>
        <v>0.5</v>
      </c>
      <c r="R48" s="102">
        <f t="shared" ref="R48:U48" si="5">SUMPRODUCT(R33:R46,$P$33:$P$46)/SUM(R33:R46)</f>
        <v>0.16898148148148148</v>
      </c>
      <c r="S48" s="102">
        <f t="shared" si="5"/>
        <v>0.3896604938271605</v>
      </c>
      <c r="T48" s="102">
        <f t="shared" si="5"/>
        <v>0.58333333333333337</v>
      </c>
      <c r="U48" s="102">
        <f t="shared" si="5"/>
        <v>0.44925213675213671</v>
      </c>
    </row>
    <row r="51" spans="3:19" x14ac:dyDescent="0.35">
      <c r="C51" t="s">
        <v>81</v>
      </c>
      <c r="S51" s="113"/>
    </row>
    <row r="52" spans="3:19" x14ac:dyDescent="0.35">
      <c r="C52" t="s">
        <v>97</v>
      </c>
    </row>
    <row r="53" spans="3:19" x14ac:dyDescent="0.35">
      <c r="C53" t="s">
        <v>98</v>
      </c>
    </row>
    <row r="54" spans="3:19" x14ac:dyDescent="0.35">
      <c r="C54" t="s">
        <v>99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F6A090941E34BA797DB064D7BD060" ma:contentTypeVersion="9" ma:contentTypeDescription="Create a new document." ma:contentTypeScope="" ma:versionID="b8d1460d4e6eee5316f599c4eb6882c5">
  <xsd:schema xmlns:xsd="http://www.w3.org/2001/XMLSchema" xmlns:xs="http://www.w3.org/2001/XMLSchema" xmlns:p="http://schemas.microsoft.com/office/2006/metadata/properties" xmlns:ns3="46c7b038-1f8e-470e-8bc8-2f574a9d1cc2" targetNamespace="http://schemas.microsoft.com/office/2006/metadata/properties" ma:root="true" ma:fieldsID="f3ee92b463ed1ab81b2dd15da69193e3" ns3:_="">
    <xsd:import namespace="46c7b038-1f8e-470e-8bc8-2f574a9d1c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7b038-1f8e-470e-8bc8-2f574a9d1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D8DF27-9101-4090-9CB0-FFEA86B5D1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DCBAA-32B0-4BA4-884D-62F6D7F1634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46c7b038-1f8e-470e-8bc8-2f574a9d1c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61A1CB-974B-46E8-ADF0-A029B0EA4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c7b038-1f8e-470e-8bc8-2f574a9d1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Approche</vt:lpstr>
      <vt:lpstr>Exemple1-FinAnnée</vt:lpstr>
      <vt:lpstr>Exemple2-FinAnnée</vt:lpstr>
      <vt:lpstr>Exemple1-MiAnnée</vt:lpstr>
      <vt:lpstr>Exemple2-MiAnnée</vt:lpstr>
      <vt:lpstr>Parallélogramme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Jasmin</dc:creator>
  <cp:lastModifiedBy>Josee Racette</cp:lastModifiedBy>
  <dcterms:created xsi:type="dcterms:W3CDTF">2020-07-08T11:53:32Z</dcterms:created>
  <dcterms:modified xsi:type="dcterms:W3CDTF">2022-01-31T20:10:28Z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7c19fa-b0e9-43a6-8bf0-1bd7adaf87b3_Enabled">
    <vt:lpwstr>true</vt:lpwstr>
  </property>
  <property fmtid="{D5CDD505-2E9C-101B-9397-08002B2CF9AE}" pid="3" name="MSIP_Label_b77c19fa-b0e9-43a6-8bf0-1bd7adaf87b3_SetDate">
    <vt:lpwstr>2020-07-29T18:48:15Z</vt:lpwstr>
  </property>
  <property fmtid="{D5CDD505-2E9C-101B-9397-08002B2CF9AE}" pid="4" name="MSIP_Label_b77c19fa-b0e9-43a6-8bf0-1bd7adaf87b3_Method">
    <vt:lpwstr>Privileged</vt:lpwstr>
  </property>
  <property fmtid="{D5CDD505-2E9C-101B-9397-08002B2CF9AE}" pid="5" name="MSIP_Label_b77c19fa-b0e9-43a6-8bf0-1bd7adaf87b3_Name">
    <vt:lpwstr>Public</vt:lpwstr>
  </property>
  <property fmtid="{D5CDD505-2E9C-101B-9397-08002B2CF9AE}" pid="6" name="MSIP_Label_b77c19fa-b0e9-43a6-8bf0-1bd7adaf87b3_SiteId">
    <vt:lpwstr>728d20a5-0b44-47dd-9470-20f37cbf2d9a</vt:lpwstr>
  </property>
  <property fmtid="{D5CDD505-2E9C-101B-9397-08002B2CF9AE}" pid="7" name="MSIP_Label_b77c19fa-b0e9-43a6-8bf0-1bd7adaf87b3_ActionId">
    <vt:lpwstr>e5e3ebf1-e61a-48e9-86e5-0000f418b8d0</vt:lpwstr>
  </property>
  <property fmtid="{D5CDD505-2E9C-101B-9397-08002B2CF9AE}" pid="8" name="MSIP_Label_b77c19fa-b0e9-43a6-8bf0-1bd7adaf87b3_ContentBits">
    <vt:lpwstr>0</vt:lpwstr>
  </property>
  <property fmtid="{D5CDD505-2E9C-101B-9397-08002B2CF9AE}" pid="9" name="ContentTypeId">
    <vt:lpwstr>0x01010010BF6A090941E34BA797DB064D7BD060</vt:lpwstr>
  </property>
</Properties>
</file>