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Z:\#01 - CIA\Professional Practice\PC\Reports\Acquisition CF 2021\Revised\"/>
    </mc:Choice>
  </mc:AlternateContent>
  <xr:revisionPtr revIDLastSave="0" documentId="13_ncr:1_{D3186383-3635-4529-83CB-04B3362C0534}" xr6:coauthVersionLast="47" xr6:coauthVersionMax="47" xr10:uidLastSave="{00000000-0000-0000-0000-000000000000}"/>
  <bookViews>
    <workbookView xWindow="-28920" yWindow="-120" windowWidth="29040" windowHeight="15840" tabRatio="932" activeTab="6" xr2:uid="{00000000-000D-0000-FFFF-FFFF00000000}"/>
  </bookViews>
  <sheets>
    <sheet name="0 - Inputs and Results" sheetId="3" r:id="rId1"/>
    <sheet name="A - Base data at Dec 31, 2019" sheetId="4" r:id="rId2"/>
    <sheet name="B - Onerous at Dec 31, 2019" sheetId="1" r:id="rId3"/>
    <sheet name="C - Rec. Tests at Dec 31, 2019" sheetId="2" r:id="rId4"/>
    <sheet name="D - Base data at Dec 31, 2020" sheetId="5" r:id="rId5"/>
    <sheet name="E - Onerous at Dec 31, 2020" sheetId="6" r:id="rId6"/>
    <sheet name="F - Rec. Tests at Dec 31, 2020"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7" l="1"/>
  <c r="I156" i="5" l="1"/>
  <c r="J156" i="5"/>
  <c r="I155" i="5"/>
  <c r="J155" i="5"/>
  <c r="I154" i="5"/>
  <c r="J154" i="5"/>
  <c r="I153" i="5"/>
  <c r="J153" i="5"/>
  <c r="I152" i="5"/>
  <c r="J152" i="5"/>
  <c r="K16" i="3"/>
  <c r="J16" i="3"/>
  <c r="I16" i="3"/>
  <c r="H16" i="3"/>
  <c r="G16" i="3"/>
  <c r="F16" i="3"/>
  <c r="D30" i="3"/>
  <c r="D29" i="3"/>
  <c r="D20" i="3"/>
  <c r="D21" i="3"/>
  <c r="D22" i="3"/>
  <c r="D23" i="3"/>
  <c r="D24" i="3"/>
  <c r="D25" i="3"/>
  <c r="D19" i="3"/>
  <c r="D17" i="3"/>
  <c r="D15" i="3"/>
  <c r="D16" i="3" s="1"/>
  <c r="K14" i="3"/>
  <c r="J14" i="3"/>
  <c r="I14" i="3"/>
  <c r="H14" i="3"/>
  <c r="G14" i="3"/>
  <c r="F14" i="3"/>
  <c r="K10" i="3"/>
  <c r="H10" i="3"/>
  <c r="F10" i="3"/>
  <c r="G32" i="3" l="1"/>
  <c r="H32" i="3"/>
  <c r="I32" i="3"/>
  <c r="J32" i="3"/>
  <c r="K32" i="3"/>
  <c r="F32" i="3"/>
  <c r="F31" i="3"/>
  <c r="G31" i="3"/>
  <c r="H31" i="3"/>
  <c r="I31" i="3"/>
  <c r="K31" i="3"/>
  <c r="J31" i="3"/>
  <c r="G36" i="4"/>
  <c r="F17" i="5"/>
  <c r="F10" i="5"/>
  <c r="D9" i="3"/>
  <c r="K9" i="4" s="1"/>
  <c r="D10" i="3"/>
  <c r="F11" i="4" s="1"/>
  <c r="E6" i="1" s="1"/>
  <c r="D11" i="3"/>
  <c r="H14" i="4" s="1"/>
  <c r="D12" i="3"/>
  <c r="H18" i="4" s="1"/>
  <c r="H22" i="5" s="1"/>
  <c r="D13" i="3"/>
  <c r="D22" i="4"/>
  <c r="D26" i="5" s="1"/>
  <c r="D27" i="5" s="1"/>
  <c r="H28" i="4"/>
  <c r="H36" i="4"/>
  <c r="I36" i="4"/>
  <c r="J36" i="4"/>
  <c r="K36" i="4"/>
  <c r="K40" i="5" s="1"/>
  <c r="T94" i="5" s="1"/>
  <c r="L36" i="4"/>
  <c r="L40" i="5" s="1"/>
  <c r="T115" i="5" s="1"/>
  <c r="M36" i="4"/>
  <c r="M40" i="5" s="1"/>
  <c r="D8" i="3"/>
  <c r="F8" i="4" s="1"/>
  <c r="F8" i="5" s="1"/>
  <c r="H76" i="5" s="1"/>
  <c r="J53" i="2"/>
  <c r="I53" i="7"/>
  <c r="K53" i="7"/>
  <c r="K164" i="7"/>
  <c r="D85" i="3" s="1"/>
  <c r="J164" i="7"/>
  <c r="D84" i="3" s="1"/>
  <c r="K154" i="7"/>
  <c r="J154" i="7"/>
  <c r="K143" i="7"/>
  <c r="J143" i="7"/>
  <c r="I143" i="7"/>
  <c r="K91" i="7"/>
  <c r="J91" i="7"/>
  <c r="K81" i="7"/>
  <c r="J81" i="7"/>
  <c r="K70" i="7"/>
  <c r="J70" i="7"/>
  <c r="I70" i="7"/>
  <c r="G43" i="6"/>
  <c r="I64" i="6"/>
  <c r="K19" i="7" s="1"/>
  <c r="K30" i="7" s="1"/>
  <c r="H64" i="6"/>
  <c r="J19" i="7" s="1"/>
  <c r="J16" i="7" s="1"/>
  <c r="I54" i="6"/>
  <c r="H54" i="6"/>
  <c r="I43" i="6"/>
  <c r="H43" i="6"/>
  <c r="J53" i="7" s="1"/>
  <c r="J254" i="5"/>
  <c r="I254" i="5"/>
  <c r="J243" i="5"/>
  <c r="I243" i="5"/>
  <c r="H243" i="5"/>
  <c r="G243" i="5"/>
  <c r="E243" i="5"/>
  <c r="F240" i="5"/>
  <c r="F243" i="5" s="1"/>
  <c r="D243" i="5"/>
  <c r="J233" i="5"/>
  <c r="I233" i="5"/>
  <c r="E233" i="5"/>
  <c r="F230" i="5"/>
  <c r="F233" i="5" s="1"/>
  <c r="H233" i="5"/>
  <c r="G233" i="5"/>
  <c r="J202" i="5"/>
  <c r="I202" i="5"/>
  <c r="H202" i="5"/>
  <c r="D202" i="5"/>
  <c r="J191" i="5"/>
  <c r="I191" i="5"/>
  <c r="H191" i="5"/>
  <c r="G191" i="5"/>
  <c r="F191" i="5"/>
  <c r="E191" i="5"/>
  <c r="J180" i="5"/>
  <c r="I180" i="5"/>
  <c r="H180" i="5"/>
  <c r="G180" i="5"/>
  <c r="O102" i="5"/>
  <c r="O92" i="5"/>
  <c r="E122" i="5"/>
  <c r="J264" i="5"/>
  <c r="I17" i="6" s="1"/>
  <c r="I30" i="6" s="1"/>
  <c r="I264" i="5"/>
  <c r="H17" i="6" s="1"/>
  <c r="H30" i="6" s="1"/>
  <c r="J223" i="5"/>
  <c r="I223" i="5"/>
  <c r="J213" i="5"/>
  <c r="I213" i="5"/>
  <c r="H213" i="5"/>
  <c r="I157" i="5"/>
  <c r="S156" i="5"/>
  <c r="T156" i="5"/>
  <c r="T155" i="5"/>
  <c r="S155" i="5"/>
  <c r="T154" i="5"/>
  <c r="S154" i="5"/>
  <c r="T153" i="5"/>
  <c r="S153" i="5"/>
  <c r="T152" i="5"/>
  <c r="S152" i="5"/>
  <c r="J126" i="5"/>
  <c r="I126" i="5"/>
  <c r="J125" i="5"/>
  <c r="I125" i="5"/>
  <c r="H125" i="5"/>
  <c r="J124" i="5"/>
  <c r="I124" i="5"/>
  <c r="H124" i="5"/>
  <c r="G124" i="5"/>
  <c r="J123" i="5"/>
  <c r="I123" i="5"/>
  <c r="H123" i="5"/>
  <c r="G123" i="5"/>
  <c r="F123" i="5"/>
  <c r="J122" i="5"/>
  <c r="I122" i="5"/>
  <c r="H122" i="5"/>
  <c r="G122" i="5"/>
  <c r="F122" i="5"/>
  <c r="J117" i="5"/>
  <c r="I117" i="5"/>
  <c r="E117" i="5"/>
  <c r="F114" i="5"/>
  <c r="J107" i="5"/>
  <c r="I107" i="5"/>
  <c r="S107" i="5"/>
  <c r="J97" i="5"/>
  <c r="I97" i="5"/>
  <c r="K149" i="2"/>
  <c r="D58" i="3" s="1"/>
  <c r="J149" i="2"/>
  <c r="D57" i="3" s="1"/>
  <c r="K139" i="2"/>
  <c r="J139" i="2"/>
  <c r="K128" i="2"/>
  <c r="J128" i="2"/>
  <c r="I128" i="2"/>
  <c r="H128" i="2"/>
  <c r="K91" i="2"/>
  <c r="J91" i="2"/>
  <c r="K81" i="2"/>
  <c r="J81" i="2"/>
  <c r="K70" i="2"/>
  <c r="J70" i="2"/>
  <c r="I70" i="2"/>
  <c r="H70" i="2"/>
  <c r="I64" i="1"/>
  <c r="H64" i="1"/>
  <c r="I54" i="1"/>
  <c r="H54" i="1"/>
  <c r="I43" i="1"/>
  <c r="K53" i="2" s="1"/>
  <c r="H43" i="1"/>
  <c r="G43" i="1"/>
  <c r="I53" i="2" s="1"/>
  <c r="F43" i="1"/>
  <c r="H53" i="2" s="1"/>
  <c r="I212" i="4"/>
  <c r="J212" i="4"/>
  <c r="I202" i="4"/>
  <c r="J202" i="4"/>
  <c r="G191" i="4"/>
  <c r="H191" i="4"/>
  <c r="I191" i="4"/>
  <c r="J191" i="4"/>
  <c r="S144" i="4"/>
  <c r="T144" i="4"/>
  <c r="S145" i="4"/>
  <c r="T145" i="4"/>
  <c r="S146" i="4"/>
  <c r="T146" i="4"/>
  <c r="S147" i="4"/>
  <c r="S143" i="4"/>
  <c r="T143" i="4"/>
  <c r="D20" i="4" l="1"/>
  <c r="D24" i="5" s="1"/>
  <c r="D25" i="5" s="1"/>
  <c r="E103" i="5" s="1"/>
  <c r="D14" i="3"/>
  <c r="H32" i="5"/>
  <c r="D112" i="5" s="1"/>
  <c r="D117" i="5" s="1"/>
  <c r="E6" i="6"/>
  <c r="H67" i="4"/>
  <c r="G66" i="4"/>
  <c r="F74" i="5"/>
  <c r="D63" i="4"/>
  <c r="E64" i="4"/>
  <c r="G75" i="5"/>
  <c r="F65" i="4"/>
  <c r="K16" i="7"/>
  <c r="D31" i="3"/>
  <c r="D32" i="3"/>
  <c r="H16" i="5"/>
  <c r="K9" i="5"/>
  <c r="F13" i="5"/>
  <c r="C6" i="1"/>
  <c r="C6" i="6"/>
  <c r="R96" i="4"/>
  <c r="P93" i="4"/>
  <c r="P94" i="4"/>
  <c r="H40" i="5"/>
  <c r="Q94" i="5" s="1"/>
  <c r="O93" i="4"/>
  <c r="O83" i="4"/>
  <c r="G40" i="5"/>
  <c r="P93" i="5" s="1"/>
  <c r="Q95" i="4"/>
  <c r="I40" i="5"/>
  <c r="R94" i="5" s="1"/>
  <c r="Q93" i="4"/>
  <c r="Q94" i="4"/>
  <c r="R94" i="4"/>
  <c r="R93" i="4"/>
  <c r="J40" i="5"/>
  <c r="S94" i="5" s="1"/>
  <c r="R95" i="4"/>
  <c r="J30" i="7"/>
  <c r="J15" i="7"/>
  <c r="J17" i="7" s="1"/>
  <c r="J20" i="7" s="1"/>
  <c r="J23" i="7" s="1"/>
  <c r="K21" i="7"/>
  <c r="K15" i="7"/>
  <c r="S113" i="5"/>
  <c r="S116" i="5"/>
  <c r="J21" i="7"/>
  <c r="T116" i="5"/>
  <c r="T113" i="5"/>
  <c r="S114" i="5"/>
  <c r="T114" i="5"/>
  <c r="T124" i="5" s="1"/>
  <c r="S112" i="5"/>
  <c r="S115" i="5"/>
  <c r="T112" i="5"/>
  <c r="K243" i="5"/>
  <c r="S157" i="5"/>
  <c r="T96" i="5"/>
  <c r="T95" i="5"/>
  <c r="T125" i="5" s="1"/>
  <c r="T93" i="5"/>
  <c r="I127" i="5"/>
  <c r="T92" i="5"/>
  <c r="J127" i="5"/>
  <c r="T157" i="5"/>
  <c r="T107" i="5"/>
  <c r="F117" i="5"/>
  <c r="G115" i="5"/>
  <c r="J157" i="5"/>
  <c r="E84" i="4" l="1"/>
  <c r="G105" i="5"/>
  <c r="H87" i="4"/>
  <c r="H127" i="4" s="1"/>
  <c r="F85" i="4"/>
  <c r="D102" i="5"/>
  <c r="D107" i="5" s="1"/>
  <c r="E93" i="5"/>
  <c r="O93" i="5" s="1"/>
  <c r="F104" i="5"/>
  <c r="F94" i="5"/>
  <c r="G95" i="5"/>
  <c r="H106" i="5"/>
  <c r="H96" i="5"/>
  <c r="R96" i="5" s="1"/>
  <c r="G86" i="4"/>
  <c r="D83" i="4"/>
  <c r="D92" i="5"/>
  <c r="D132" i="5" s="1"/>
  <c r="E132" i="5" s="1"/>
  <c r="N112" i="5"/>
  <c r="N117" i="5" s="1"/>
  <c r="Q92" i="5"/>
  <c r="R93" i="5"/>
  <c r="Q104" i="5"/>
  <c r="P114" i="5"/>
  <c r="P92" i="5"/>
  <c r="R104" i="5"/>
  <c r="R105" i="5"/>
  <c r="Q114" i="5"/>
  <c r="C63" i="5"/>
  <c r="C64" i="5" s="1"/>
  <c r="C65" i="5" s="1"/>
  <c r="C84" i="5" s="1"/>
  <c r="Q93" i="5"/>
  <c r="O112" i="5"/>
  <c r="O122" i="5" s="1"/>
  <c r="P102" i="5"/>
  <c r="P103" i="5"/>
  <c r="Q102" i="5"/>
  <c r="R114" i="5"/>
  <c r="R103" i="5"/>
  <c r="Q103" i="5"/>
  <c r="S96" i="5"/>
  <c r="S126" i="5" s="1"/>
  <c r="R95" i="5"/>
  <c r="R115" i="5"/>
  <c r="R112" i="5"/>
  <c r="S93" i="5"/>
  <c r="S123" i="5" s="1"/>
  <c r="R92" i="5"/>
  <c r="R113" i="5"/>
  <c r="S92" i="5"/>
  <c r="S122" i="5" s="1"/>
  <c r="O113" i="5"/>
  <c r="S95" i="5"/>
  <c r="S125" i="5" s="1"/>
  <c r="P112" i="5"/>
  <c r="P113" i="5"/>
  <c r="Q113" i="5"/>
  <c r="Q112" i="5"/>
  <c r="S124" i="5"/>
  <c r="R102" i="5"/>
  <c r="K17" i="7"/>
  <c r="K20" i="7" s="1"/>
  <c r="K23" i="7" s="1"/>
  <c r="T126" i="5"/>
  <c r="T117" i="5"/>
  <c r="T123" i="5"/>
  <c r="T122" i="5"/>
  <c r="S117" i="5"/>
  <c r="T97" i="5"/>
  <c r="E107" i="5"/>
  <c r="Q115" i="5"/>
  <c r="G117" i="5"/>
  <c r="H116" i="5"/>
  <c r="J147" i="4"/>
  <c r="T147" i="4" s="1"/>
  <c r="J117" i="4"/>
  <c r="I117" i="4"/>
  <c r="J116" i="4"/>
  <c r="I116" i="4"/>
  <c r="H116" i="4"/>
  <c r="J115" i="4"/>
  <c r="I115" i="4"/>
  <c r="H115" i="4"/>
  <c r="G115" i="4"/>
  <c r="J114" i="4"/>
  <c r="I114" i="4"/>
  <c r="H114" i="4"/>
  <c r="G114" i="4"/>
  <c r="F114" i="4"/>
  <c r="J113" i="4"/>
  <c r="I113" i="4"/>
  <c r="H113" i="4"/>
  <c r="G113" i="4"/>
  <c r="F113" i="4"/>
  <c r="E113" i="4"/>
  <c r="D103" i="4"/>
  <c r="J108" i="4"/>
  <c r="I108" i="4"/>
  <c r="T107" i="4"/>
  <c r="S107" i="4"/>
  <c r="T106" i="4"/>
  <c r="S106" i="4"/>
  <c r="R106" i="4"/>
  <c r="T105" i="4"/>
  <c r="S105" i="4"/>
  <c r="R105" i="4"/>
  <c r="Q105" i="4"/>
  <c r="T104" i="4"/>
  <c r="S104" i="4"/>
  <c r="R104" i="4"/>
  <c r="Q104" i="4"/>
  <c r="P104" i="4"/>
  <c r="T103" i="4"/>
  <c r="S103" i="4"/>
  <c r="R103" i="4"/>
  <c r="Q103" i="4"/>
  <c r="P103" i="4"/>
  <c r="O103" i="4"/>
  <c r="J98" i="4"/>
  <c r="I98" i="4"/>
  <c r="C54" i="4"/>
  <c r="D23" i="4"/>
  <c r="D21" i="4"/>
  <c r="D137" i="5" l="1"/>
  <c r="N92" i="5"/>
  <c r="N132" i="5" s="1"/>
  <c r="N137" i="5" s="1"/>
  <c r="D122" i="5"/>
  <c r="D127" i="5" s="1"/>
  <c r="N102" i="5"/>
  <c r="N107" i="5" s="1"/>
  <c r="D97" i="5"/>
  <c r="D142" i="5"/>
  <c r="E142" i="5" s="1"/>
  <c r="E197" i="5" s="1"/>
  <c r="J34" i="7"/>
  <c r="J59" i="7" s="1"/>
  <c r="D71" i="3"/>
  <c r="C73" i="4"/>
  <c r="C154" i="4" s="1"/>
  <c r="C123" i="4" s="1"/>
  <c r="C133" i="4" s="1"/>
  <c r="M133" i="4" s="1"/>
  <c r="H97" i="4"/>
  <c r="G96" i="4"/>
  <c r="F95" i="4"/>
  <c r="E94" i="4"/>
  <c r="O94" i="4" s="1"/>
  <c r="D93" i="4"/>
  <c r="D133" i="4" s="1"/>
  <c r="P123" i="5"/>
  <c r="Q124" i="5"/>
  <c r="P122" i="5"/>
  <c r="C83" i="5"/>
  <c r="C73" i="5" s="1"/>
  <c r="C93" i="5" s="1"/>
  <c r="C103" i="5" s="1"/>
  <c r="C123" i="5" s="1"/>
  <c r="C133" i="5" s="1"/>
  <c r="C143" i="5" s="1"/>
  <c r="C153" i="5" s="1"/>
  <c r="C164" i="5" s="1"/>
  <c r="R123" i="5"/>
  <c r="C82" i="5"/>
  <c r="C72" i="5" s="1"/>
  <c r="C92" i="5" s="1"/>
  <c r="C102" i="5" s="1"/>
  <c r="C112" i="5" s="1"/>
  <c r="R124" i="5"/>
  <c r="Q122" i="5"/>
  <c r="C66" i="5"/>
  <c r="C85" i="5" s="1"/>
  <c r="O117" i="5"/>
  <c r="R125" i="5"/>
  <c r="P117" i="5"/>
  <c r="Q123" i="5"/>
  <c r="R122" i="5"/>
  <c r="S97" i="5"/>
  <c r="Q117" i="5"/>
  <c r="E99" i="2"/>
  <c r="E99" i="7"/>
  <c r="T127" i="5"/>
  <c r="S127" i="5"/>
  <c r="P94" i="5"/>
  <c r="E97" i="5"/>
  <c r="E133" i="5"/>
  <c r="P104" i="5"/>
  <c r="E143" i="5"/>
  <c r="E198" i="5" s="1"/>
  <c r="O103" i="5"/>
  <c r="O143" i="5" s="1"/>
  <c r="P143" i="5" s="1"/>
  <c r="Q143" i="5" s="1"/>
  <c r="E123" i="5"/>
  <c r="E127" i="5" s="1"/>
  <c r="D73" i="4"/>
  <c r="D72" i="5"/>
  <c r="C74" i="5"/>
  <c r="C94" i="5" s="1"/>
  <c r="C104" i="5" s="1"/>
  <c r="M84" i="5"/>
  <c r="R116" i="5"/>
  <c r="R117" i="5" s="1"/>
  <c r="H117" i="5"/>
  <c r="K117" i="5" s="1"/>
  <c r="F132" i="5"/>
  <c r="O97" i="5"/>
  <c r="O133" i="5"/>
  <c r="E63" i="4"/>
  <c r="T148" i="4"/>
  <c r="J148" i="4"/>
  <c r="I17" i="1" s="1"/>
  <c r="I30" i="1" s="1"/>
  <c r="K19" i="2" s="1"/>
  <c r="I127" i="4"/>
  <c r="E124" i="4"/>
  <c r="G126" i="4"/>
  <c r="F125" i="4"/>
  <c r="D123" i="4"/>
  <c r="S108" i="4"/>
  <c r="T108" i="4"/>
  <c r="O104" i="4"/>
  <c r="O108" i="4" s="1"/>
  <c r="F105" i="4"/>
  <c r="E108" i="4"/>
  <c r="D108" i="4"/>
  <c r="N103" i="4"/>
  <c r="N108" i="4" s="1"/>
  <c r="I118" i="4"/>
  <c r="S98" i="4"/>
  <c r="J118" i="4"/>
  <c r="D68" i="4"/>
  <c r="T98" i="4"/>
  <c r="O84" i="4"/>
  <c r="O124" i="4" s="1"/>
  <c r="P124" i="4" s="1"/>
  <c r="Q124" i="4" s="1"/>
  <c r="E88" i="4"/>
  <c r="D88" i="4"/>
  <c r="O113" i="4"/>
  <c r="N83" i="4"/>
  <c r="N123" i="4" s="1"/>
  <c r="O123" i="4" s="1"/>
  <c r="P123" i="4" s="1"/>
  <c r="N63" i="4"/>
  <c r="C55" i="4"/>
  <c r="N97" i="5" l="1"/>
  <c r="O132" i="5"/>
  <c r="P132" i="5" s="1"/>
  <c r="N122" i="5"/>
  <c r="N127" i="5" s="1"/>
  <c r="N142" i="5"/>
  <c r="N147" i="5" s="1"/>
  <c r="F142" i="5"/>
  <c r="F197" i="5" s="1"/>
  <c r="D147" i="5"/>
  <c r="K16" i="2"/>
  <c r="K30" i="2"/>
  <c r="D82" i="5"/>
  <c r="D163" i="5" s="1"/>
  <c r="D168" i="5" s="1"/>
  <c r="P133" i="5"/>
  <c r="M9" i="6"/>
  <c r="C63" i="4"/>
  <c r="C83" i="4" s="1"/>
  <c r="C93" i="4" s="1"/>
  <c r="C113" i="4" s="1"/>
  <c r="M73" i="4"/>
  <c r="M63" i="4" s="1"/>
  <c r="M83" i="4" s="1"/>
  <c r="M93" i="4" s="1"/>
  <c r="M113" i="4" s="1"/>
  <c r="J41" i="7"/>
  <c r="E98" i="4"/>
  <c r="K34" i="7"/>
  <c r="K59" i="7" s="1"/>
  <c r="D72" i="3"/>
  <c r="E114" i="4"/>
  <c r="E118" i="4" s="1"/>
  <c r="E134" i="4"/>
  <c r="F134" i="4" s="1"/>
  <c r="D98" i="4"/>
  <c r="C143" i="4"/>
  <c r="C164" i="4" s="1"/>
  <c r="N93" i="4"/>
  <c r="N98" i="4" s="1"/>
  <c r="D113" i="4"/>
  <c r="D154" i="4" s="1"/>
  <c r="O134" i="4"/>
  <c r="P134" i="4" s="1"/>
  <c r="Q134" i="4" s="1"/>
  <c r="O98" i="4"/>
  <c r="U117" i="5"/>
  <c r="M82" i="5"/>
  <c r="M72" i="5" s="1"/>
  <c r="M92" i="5" s="1"/>
  <c r="M102" i="5" s="1"/>
  <c r="C113" i="5"/>
  <c r="M83" i="5"/>
  <c r="M73" i="5" s="1"/>
  <c r="M93" i="5" s="1"/>
  <c r="M103" i="5" s="1"/>
  <c r="M113" i="5" s="1"/>
  <c r="C67" i="5"/>
  <c r="C86" i="5" s="1"/>
  <c r="M86" i="5" s="1"/>
  <c r="D186" i="4"/>
  <c r="D191" i="4" s="1"/>
  <c r="E147" i="5"/>
  <c r="F133" i="5"/>
  <c r="G133" i="5" s="1"/>
  <c r="M143" i="5"/>
  <c r="O107" i="5"/>
  <c r="E137" i="5"/>
  <c r="F134" i="5"/>
  <c r="G134" i="5" s="1"/>
  <c r="H134" i="5" s="1"/>
  <c r="F124" i="5"/>
  <c r="F127" i="5" s="1"/>
  <c r="F97" i="5"/>
  <c r="Q95" i="5"/>
  <c r="F107" i="5"/>
  <c r="C122" i="5"/>
  <c r="C132" i="5" s="1"/>
  <c r="C142" i="5" s="1"/>
  <c r="Q105" i="5"/>
  <c r="F144" i="5"/>
  <c r="G144" i="5" s="1"/>
  <c r="H144" i="5" s="1"/>
  <c r="O123" i="5"/>
  <c r="O127" i="5" s="1"/>
  <c r="F143" i="5"/>
  <c r="F198" i="5" s="1"/>
  <c r="D78" i="4"/>
  <c r="D174" i="4"/>
  <c r="D179" i="4" s="1"/>
  <c r="N73" i="4"/>
  <c r="N78" i="4" s="1"/>
  <c r="E73" i="4"/>
  <c r="O73" i="4" s="1"/>
  <c r="E72" i="5"/>
  <c r="N72" i="5"/>
  <c r="D77" i="5"/>
  <c r="E73" i="5"/>
  <c r="E74" i="4"/>
  <c r="E175" i="4" s="1"/>
  <c r="M153" i="5"/>
  <c r="P144" i="5"/>
  <c r="Q144" i="5" s="1"/>
  <c r="R144" i="5" s="1"/>
  <c r="P107" i="5"/>
  <c r="C124" i="5"/>
  <c r="C134" i="5" s="1"/>
  <c r="C144" i="5" s="1"/>
  <c r="C154" i="5" s="1"/>
  <c r="C165" i="5" s="1"/>
  <c r="C114" i="5"/>
  <c r="P134" i="5"/>
  <c r="P124" i="5"/>
  <c r="P127" i="5" s="1"/>
  <c r="P97" i="5"/>
  <c r="C75" i="5"/>
  <c r="C95" i="5" s="1"/>
  <c r="C105" i="5" s="1"/>
  <c r="M85" i="5"/>
  <c r="M74" i="5"/>
  <c r="M94" i="5" s="1"/>
  <c r="M104" i="5" s="1"/>
  <c r="K15" i="2"/>
  <c r="K21" i="2"/>
  <c r="F63" i="4"/>
  <c r="G63" i="4" s="1"/>
  <c r="G73" i="4" s="1"/>
  <c r="D138" i="4"/>
  <c r="O63" i="4"/>
  <c r="I148" i="4"/>
  <c r="H17" i="1" s="1"/>
  <c r="H30" i="1" s="1"/>
  <c r="S148" i="4"/>
  <c r="P95" i="4"/>
  <c r="F135" i="4"/>
  <c r="E133" i="4"/>
  <c r="E186" i="4" s="1"/>
  <c r="D128" i="4"/>
  <c r="N128" i="4"/>
  <c r="E123" i="4"/>
  <c r="G125" i="4"/>
  <c r="H126" i="4"/>
  <c r="F124" i="4"/>
  <c r="J127" i="4"/>
  <c r="F64" i="4"/>
  <c r="N68" i="4"/>
  <c r="O114" i="4"/>
  <c r="O118" i="4" s="1"/>
  <c r="F115" i="4"/>
  <c r="F118" i="4" s="1"/>
  <c r="F108" i="4"/>
  <c r="P105" i="4"/>
  <c r="P108" i="4" s="1"/>
  <c r="G106" i="4"/>
  <c r="N88" i="4"/>
  <c r="O88" i="4"/>
  <c r="G136" i="4"/>
  <c r="F98" i="4"/>
  <c r="O64" i="4"/>
  <c r="F75" i="4"/>
  <c r="P83" i="4"/>
  <c r="P113" i="4" s="1"/>
  <c r="F88" i="4"/>
  <c r="P85" i="4"/>
  <c r="P125" i="4" s="1"/>
  <c r="Q125" i="4" s="1"/>
  <c r="R125" i="4" s="1"/>
  <c r="P84" i="4"/>
  <c r="E68" i="4"/>
  <c r="C74" i="4"/>
  <c r="C56" i="4"/>
  <c r="O137" i="5" l="1"/>
  <c r="O142" i="5"/>
  <c r="O147" i="5" s="1"/>
  <c r="D87" i="5"/>
  <c r="N82" i="5"/>
  <c r="N87" i="5" s="1"/>
  <c r="J19" i="2"/>
  <c r="J16" i="2" s="1"/>
  <c r="Q133" i="5"/>
  <c r="Q134" i="5"/>
  <c r="F74" i="4"/>
  <c r="F175" i="4" s="1"/>
  <c r="D159" i="4"/>
  <c r="C103" i="4"/>
  <c r="M154" i="4"/>
  <c r="M123" i="4" s="1"/>
  <c r="D118" i="4"/>
  <c r="K41" i="7"/>
  <c r="M143" i="4"/>
  <c r="N113" i="4"/>
  <c r="N118" i="4" s="1"/>
  <c r="N133" i="4"/>
  <c r="O133" i="4" s="1"/>
  <c r="P133" i="4" s="1"/>
  <c r="G135" i="5"/>
  <c r="H135" i="5" s="1"/>
  <c r="I135" i="5" s="1"/>
  <c r="C76" i="5"/>
  <c r="C96" i="5" s="1"/>
  <c r="C106" i="5" s="1"/>
  <c r="C116" i="5" s="1"/>
  <c r="M123" i="5"/>
  <c r="M133" i="5" s="1"/>
  <c r="F137" i="5"/>
  <c r="E155" i="4"/>
  <c r="G145" i="5"/>
  <c r="H145" i="5" s="1"/>
  <c r="M144" i="5"/>
  <c r="G125" i="5"/>
  <c r="G127" i="5" s="1"/>
  <c r="C152" i="5"/>
  <c r="M142" i="5"/>
  <c r="G97" i="5"/>
  <c r="G107" i="5"/>
  <c r="R106" i="5"/>
  <c r="F147" i="5"/>
  <c r="E202" i="5"/>
  <c r="E209" i="5"/>
  <c r="M112" i="5"/>
  <c r="M122" i="5"/>
  <c r="M132" i="5" s="1"/>
  <c r="G143" i="5"/>
  <c r="G198" i="5" s="1"/>
  <c r="E154" i="4"/>
  <c r="E78" i="4"/>
  <c r="O74" i="4"/>
  <c r="O175" i="4" s="1"/>
  <c r="N174" i="4"/>
  <c r="N179" i="4" s="1"/>
  <c r="D38" i="1"/>
  <c r="D43" i="1" s="1"/>
  <c r="F53" i="2" s="1"/>
  <c r="E191" i="4"/>
  <c r="E174" i="4"/>
  <c r="E179" i="4" s="1"/>
  <c r="N77" i="5"/>
  <c r="E82" i="5"/>
  <c r="E163" i="5" s="1"/>
  <c r="O72" i="5"/>
  <c r="E77" i="5"/>
  <c r="F72" i="5"/>
  <c r="O73" i="5"/>
  <c r="E83" i="5"/>
  <c r="O83" i="5" s="1"/>
  <c r="F73" i="5"/>
  <c r="P63" i="4"/>
  <c r="F73" i="4"/>
  <c r="F174" i="4" s="1"/>
  <c r="M114" i="5"/>
  <c r="M124" i="5"/>
  <c r="M134" i="5" s="1"/>
  <c r="Q135" i="5"/>
  <c r="Q125" i="5"/>
  <c r="Q127" i="5" s="1"/>
  <c r="Q97" i="5"/>
  <c r="C176" i="5"/>
  <c r="Q145" i="5"/>
  <c r="Q107" i="5"/>
  <c r="M154" i="5"/>
  <c r="C125" i="5"/>
  <c r="C135" i="5" s="1"/>
  <c r="C145" i="5" s="1"/>
  <c r="C155" i="5" s="1"/>
  <c r="C166" i="5" s="1"/>
  <c r="C115" i="5"/>
  <c r="P137" i="5"/>
  <c r="M76" i="5"/>
  <c r="M96" i="5" s="1"/>
  <c r="M106" i="5" s="1"/>
  <c r="M75" i="5"/>
  <c r="M95" i="5" s="1"/>
  <c r="M105" i="5" s="1"/>
  <c r="P98" i="4"/>
  <c r="P135" i="4"/>
  <c r="Q135" i="4" s="1"/>
  <c r="K17" i="2"/>
  <c r="K20" i="2" s="1"/>
  <c r="K23" i="2" s="1"/>
  <c r="J30" i="2"/>
  <c r="F176" i="4"/>
  <c r="O174" i="4"/>
  <c r="M164" i="4"/>
  <c r="C174" i="4"/>
  <c r="O154" i="4"/>
  <c r="P75" i="4"/>
  <c r="M103" i="4"/>
  <c r="P64" i="4"/>
  <c r="G134" i="4"/>
  <c r="H136" i="4"/>
  <c r="F133" i="4"/>
  <c r="F186" i="4" s="1"/>
  <c r="E138" i="4"/>
  <c r="G135" i="4"/>
  <c r="G64" i="4"/>
  <c r="G74" i="4" s="1"/>
  <c r="G124" i="4"/>
  <c r="I126" i="4"/>
  <c r="H125" i="4"/>
  <c r="E128" i="4"/>
  <c r="F123" i="4"/>
  <c r="O128" i="4"/>
  <c r="J128" i="4"/>
  <c r="P115" i="4"/>
  <c r="G116" i="4"/>
  <c r="G118" i="4" s="1"/>
  <c r="O68" i="4"/>
  <c r="F68" i="4"/>
  <c r="F156" i="4"/>
  <c r="P114" i="4"/>
  <c r="G108" i="4"/>
  <c r="H107" i="4"/>
  <c r="Q106" i="4"/>
  <c r="Q108" i="4" s="1"/>
  <c r="Q96" i="4"/>
  <c r="G98" i="4"/>
  <c r="H137" i="4"/>
  <c r="G76" i="4"/>
  <c r="G65" i="4"/>
  <c r="G75" i="4" s="1"/>
  <c r="P65" i="4"/>
  <c r="M74" i="4"/>
  <c r="C64" i="4"/>
  <c r="C84" i="4" s="1"/>
  <c r="C94" i="4" s="1"/>
  <c r="Q84" i="4"/>
  <c r="Q114" i="4" s="1"/>
  <c r="Q85" i="4"/>
  <c r="Q115" i="4" s="1"/>
  <c r="G88" i="4"/>
  <c r="Q83" i="4"/>
  <c r="Q113" i="4" s="1"/>
  <c r="Q86" i="4"/>
  <c r="Q126" i="4" s="1"/>
  <c r="R126" i="4" s="1"/>
  <c r="S126" i="4" s="1"/>
  <c r="P88" i="4"/>
  <c r="H63" i="4"/>
  <c r="H73" i="4" s="1"/>
  <c r="Q63" i="4"/>
  <c r="C155" i="4"/>
  <c r="C124" i="4" s="1"/>
  <c r="C134" i="4" s="1"/>
  <c r="G174" i="4"/>
  <c r="C57" i="4"/>
  <c r="C75" i="4"/>
  <c r="P142" i="5" l="1"/>
  <c r="P147" i="5" s="1"/>
  <c r="J15" i="2"/>
  <c r="J17" i="2" s="1"/>
  <c r="J20" i="2" s="1"/>
  <c r="P74" i="4"/>
  <c r="P175" i="4" s="1"/>
  <c r="N163" i="5"/>
  <c r="N168" i="5" s="1"/>
  <c r="O138" i="4"/>
  <c r="R134" i="5"/>
  <c r="R135" i="5"/>
  <c r="F155" i="4"/>
  <c r="O164" i="5"/>
  <c r="N154" i="4"/>
  <c r="N159" i="4" s="1"/>
  <c r="N138" i="4"/>
  <c r="E159" i="4"/>
  <c r="G137" i="5"/>
  <c r="C126" i="5"/>
  <c r="C136" i="5" s="1"/>
  <c r="C146" i="5" s="1"/>
  <c r="C156" i="5" s="1"/>
  <c r="C167" i="5" s="1"/>
  <c r="O155" i="4"/>
  <c r="O159" i="4" s="1"/>
  <c r="O78" i="4"/>
  <c r="P73" i="4"/>
  <c r="P154" i="4" s="1"/>
  <c r="R135" i="4"/>
  <c r="H146" i="5"/>
  <c r="I146" i="5" s="1"/>
  <c r="J146" i="5" s="1"/>
  <c r="J147" i="5" s="1"/>
  <c r="H107" i="5"/>
  <c r="K107" i="5" s="1"/>
  <c r="H97" i="5"/>
  <c r="K97" i="5" s="1"/>
  <c r="M145" i="5"/>
  <c r="H126" i="5"/>
  <c r="H127" i="5" s="1"/>
  <c r="K127" i="5" s="1"/>
  <c r="H136" i="5"/>
  <c r="H137" i="5" s="1"/>
  <c r="M152" i="5"/>
  <c r="C163" i="5"/>
  <c r="G202" i="5"/>
  <c r="G209" i="5"/>
  <c r="F39" i="6" s="1"/>
  <c r="F202" i="5"/>
  <c r="F209" i="5"/>
  <c r="E39" i="6" s="1"/>
  <c r="C187" i="5"/>
  <c r="C198" i="5"/>
  <c r="G147" i="5"/>
  <c r="E164" i="5"/>
  <c r="E168" i="5" s="1"/>
  <c r="F78" i="4"/>
  <c r="F191" i="4"/>
  <c r="E38" i="1"/>
  <c r="E43" i="1" s="1"/>
  <c r="G53" i="2" s="1"/>
  <c r="F154" i="4"/>
  <c r="P74" i="5"/>
  <c r="F84" i="5"/>
  <c r="P84" i="5" s="1"/>
  <c r="G74" i="5"/>
  <c r="G73" i="5"/>
  <c r="F83" i="5"/>
  <c r="P83" i="5" s="1"/>
  <c r="P73" i="5"/>
  <c r="O77" i="5"/>
  <c r="O82" i="5"/>
  <c r="O87" i="5" s="1"/>
  <c r="E87" i="5"/>
  <c r="P72" i="5"/>
  <c r="G72" i="5"/>
  <c r="F77" i="5"/>
  <c r="F82" i="5"/>
  <c r="Q137" i="5"/>
  <c r="R146" i="5"/>
  <c r="S146" i="5" s="1"/>
  <c r="T146" i="5" s="1"/>
  <c r="T147" i="5" s="1"/>
  <c r="R107" i="5"/>
  <c r="U107" i="5" s="1"/>
  <c r="C209" i="5"/>
  <c r="C219" i="5" s="1"/>
  <c r="C229" i="5" s="1"/>
  <c r="C239" i="5" s="1"/>
  <c r="C250" i="5" s="1"/>
  <c r="M164" i="5"/>
  <c r="C260" i="5"/>
  <c r="M115" i="5"/>
  <c r="M125" i="5"/>
  <c r="M135" i="5" s="1"/>
  <c r="I145" i="5"/>
  <c r="C177" i="5"/>
  <c r="R145" i="5"/>
  <c r="Q147" i="5"/>
  <c r="M155" i="5"/>
  <c r="M126" i="5"/>
  <c r="M136" i="5" s="1"/>
  <c r="M116" i="5"/>
  <c r="R136" i="5"/>
  <c r="R126" i="5"/>
  <c r="R127" i="5" s="1"/>
  <c r="U127" i="5" s="1"/>
  <c r="R97" i="5"/>
  <c r="U97" i="5" s="1"/>
  <c r="Q98" i="4"/>
  <c r="Q136" i="4"/>
  <c r="R136" i="4" s="1"/>
  <c r="S136" i="4" s="1"/>
  <c r="F179" i="4"/>
  <c r="M174" i="4"/>
  <c r="C207" i="4"/>
  <c r="C186" i="4"/>
  <c r="C197" i="4" s="1"/>
  <c r="O179" i="4"/>
  <c r="P176" i="4"/>
  <c r="G176" i="4"/>
  <c r="P118" i="4"/>
  <c r="G175" i="4"/>
  <c r="G177" i="4"/>
  <c r="H64" i="4"/>
  <c r="H74" i="4" s="1"/>
  <c r="Q75" i="4"/>
  <c r="Q64" i="4"/>
  <c r="Q76" i="4"/>
  <c r="M134" i="4"/>
  <c r="C144" i="4"/>
  <c r="I137" i="4"/>
  <c r="P138" i="4"/>
  <c r="F138" i="4"/>
  <c r="I136" i="4"/>
  <c r="H135" i="4"/>
  <c r="G138" i="4"/>
  <c r="P128" i="4"/>
  <c r="F128" i="4"/>
  <c r="G128" i="4"/>
  <c r="Q128" i="4"/>
  <c r="G155" i="4"/>
  <c r="Q74" i="4"/>
  <c r="G154" i="4"/>
  <c r="Q73" i="4"/>
  <c r="Q154" i="4" s="1"/>
  <c r="I128" i="4"/>
  <c r="H128" i="4"/>
  <c r="M64" i="4"/>
  <c r="M84" i="4" s="1"/>
  <c r="M94" i="4" s="1"/>
  <c r="M104" i="4" s="1"/>
  <c r="M155" i="4"/>
  <c r="M124" i="4" s="1"/>
  <c r="G156" i="4"/>
  <c r="G157" i="4"/>
  <c r="P68" i="4"/>
  <c r="P156" i="4"/>
  <c r="C114" i="4"/>
  <c r="C104" i="4"/>
  <c r="Q116" i="4"/>
  <c r="Q118" i="4" s="1"/>
  <c r="H117" i="4"/>
  <c r="H118" i="4" s="1"/>
  <c r="R107" i="4"/>
  <c r="R108" i="4" s="1"/>
  <c r="U108" i="4" s="1"/>
  <c r="H108" i="4"/>
  <c r="K108" i="4" s="1"/>
  <c r="R97" i="4"/>
  <c r="H98" i="4"/>
  <c r="K98" i="4" s="1"/>
  <c r="Q65" i="4"/>
  <c r="H65" i="4"/>
  <c r="H75" i="4" s="1"/>
  <c r="Q66" i="4"/>
  <c r="H66" i="4"/>
  <c r="H76" i="4" s="1"/>
  <c r="H77" i="4"/>
  <c r="C65" i="4"/>
  <c r="C85" i="4" s="1"/>
  <c r="C95" i="4" s="1"/>
  <c r="M75" i="4"/>
  <c r="Q88" i="4"/>
  <c r="R85" i="4"/>
  <c r="R115" i="4" s="1"/>
  <c r="H88" i="4"/>
  <c r="R83" i="4"/>
  <c r="R113" i="4" s="1"/>
  <c r="R86" i="4"/>
  <c r="R116" i="4" s="1"/>
  <c r="R84" i="4"/>
  <c r="R114" i="4" s="1"/>
  <c r="R87" i="4"/>
  <c r="R127" i="4" s="1"/>
  <c r="S127" i="4" s="1"/>
  <c r="T127" i="4" s="1"/>
  <c r="T128" i="4" s="1"/>
  <c r="H174" i="4"/>
  <c r="C156" i="4"/>
  <c r="C125" i="4" s="1"/>
  <c r="C135" i="4" s="1"/>
  <c r="I63" i="4"/>
  <c r="I73" i="4" s="1"/>
  <c r="R63" i="4"/>
  <c r="G68" i="4"/>
  <c r="C58" i="4"/>
  <c r="C77" i="4" s="1"/>
  <c r="C76" i="4"/>
  <c r="G78" i="4"/>
  <c r="J21" i="2" l="1"/>
  <c r="J23" i="2"/>
  <c r="P155" i="4"/>
  <c r="P159" i="4" s="1"/>
  <c r="F159" i="4"/>
  <c r="S135" i="5"/>
  <c r="F144" i="4"/>
  <c r="F153" i="5" s="1"/>
  <c r="K34" i="2"/>
  <c r="K59" i="2" s="1"/>
  <c r="D46" i="3"/>
  <c r="M146" i="5"/>
  <c r="M156" i="5"/>
  <c r="P174" i="4"/>
  <c r="P179" i="4" s="1"/>
  <c r="P78" i="4"/>
  <c r="H147" i="5"/>
  <c r="I147" i="5"/>
  <c r="B38" i="6"/>
  <c r="B49" i="6" s="1"/>
  <c r="B59" i="6" s="1"/>
  <c r="B38" i="1"/>
  <c r="B49" i="1" s="1"/>
  <c r="B59" i="1" s="1"/>
  <c r="I136" i="5"/>
  <c r="J136" i="5" s="1"/>
  <c r="J137" i="5" s="1"/>
  <c r="C175" i="5"/>
  <c r="C259" i="5"/>
  <c r="M163" i="5"/>
  <c r="C208" i="5"/>
  <c r="C218" i="5" s="1"/>
  <c r="C228" i="5" s="1"/>
  <c r="C238" i="5" s="1"/>
  <c r="C249" i="5" s="1"/>
  <c r="G213" i="5"/>
  <c r="K202" i="5"/>
  <c r="C188" i="5"/>
  <c r="C199" i="5"/>
  <c r="O163" i="5"/>
  <c r="F163" i="5"/>
  <c r="F164" i="5"/>
  <c r="P77" i="5"/>
  <c r="Q75" i="5"/>
  <c r="G85" i="5"/>
  <c r="Q85" i="5" s="1"/>
  <c r="H75" i="5"/>
  <c r="P164" i="5"/>
  <c r="H74" i="5"/>
  <c r="G84" i="5"/>
  <c r="G165" i="5" s="1"/>
  <c r="Q74" i="5"/>
  <c r="F165" i="5"/>
  <c r="G77" i="5"/>
  <c r="H72" i="5"/>
  <c r="G82" i="5"/>
  <c r="Q72" i="5"/>
  <c r="P82" i="5"/>
  <c r="P87" i="5" s="1"/>
  <c r="F87" i="5"/>
  <c r="H73" i="5"/>
  <c r="G83" i="5"/>
  <c r="G164" i="5" s="1"/>
  <c r="Q73" i="5"/>
  <c r="P165" i="5"/>
  <c r="S145" i="5"/>
  <c r="S147" i="5" s="1"/>
  <c r="R147" i="5"/>
  <c r="C179" i="5"/>
  <c r="C261" i="5"/>
  <c r="C210" i="5"/>
  <c r="C220" i="5" s="1"/>
  <c r="C230" i="5" s="1"/>
  <c r="C240" i="5" s="1"/>
  <c r="C251" i="5" s="1"/>
  <c r="M165" i="5"/>
  <c r="C178" i="5"/>
  <c r="S136" i="5"/>
  <c r="R137" i="5"/>
  <c r="K118" i="4"/>
  <c r="K191" i="4"/>
  <c r="R128" i="4"/>
  <c r="R98" i="4"/>
  <c r="U98" i="4" s="1"/>
  <c r="R137" i="4"/>
  <c r="S137" i="4" s="1"/>
  <c r="T137" i="4" s="1"/>
  <c r="S128" i="4"/>
  <c r="Q176" i="4"/>
  <c r="Q177" i="4"/>
  <c r="H177" i="4"/>
  <c r="Q174" i="4"/>
  <c r="H176" i="4"/>
  <c r="Q175" i="4"/>
  <c r="H178" i="4"/>
  <c r="R64" i="4"/>
  <c r="H175" i="4"/>
  <c r="G179" i="4"/>
  <c r="I64" i="4"/>
  <c r="S64" i="4" s="1"/>
  <c r="Q157" i="4"/>
  <c r="Q155" i="4"/>
  <c r="H144" i="4"/>
  <c r="H153" i="5" s="1"/>
  <c r="R77" i="4"/>
  <c r="R75" i="4"/>
  <c r="G144" i="4"/>
  <c r="G153" i="5" s="1"/>
  <c r="M144" i="4"/>
  <c r="C165" i="4"/>
  <c r="R73" i="4"/>
  <c r="R174" i="4" s="1"/>
  <c r="R76" i="4"/>
  <c r="H147" i="4"/>
  <c r="H156" i="5" s="1"/>
  <c r="H143" i="4"/>
  <c r="H146" i="4"/>
  <c r="H155" i="5" s="1"/>
  <c r="G143" i="4"/>
  <c r="F143" i="4"/>
  <c r="M135" i="4"/>
  <c r="C145" i="4"/>
  <c r="H145" i="4"/>
  <c r="H154" i="5" s="1"/>
  <c r="D143" i="4"/>
  <c r="D152" i="5" s="1"/>
  <c r="G145" i="4"/>
  <c r="G154" i="5" s="1"/>
  <c r="E144" i="4"/>
  <c r="E153" i="5" s="1"/>
  <c r="G146" i="4"/>
  <c r="G155" i="5" s="1"/>
  <c r="E143" i="4"/>
  <c r="F145" i="4"/>
  <c r="F154" i="5" s="1"/>
  <c r="Q138" i="4"/>
  <c r="J137" i="4"/>
  <c r="I138" i="4"/>
  <c r="H138" i="4"/>
  <c r="M114" i="4"/>
  <c r="H154" i="4"/>
  <c r="K128" i="4"/>
  <c r="H155" i="4"/>
  <c r="R74" i="4"/>
  <c r="H156" i="4"/>
  <c r="Q156" i="4"/>
  <c r="M65" i="4"/>
  <c r="M85" i="4" s="1"/>
  <c r="M95" i="4" s="1"/>
  <c r="M115" i="4" s="1"/>
  <c r="M156" i="4"/>
  <c r="M125" i="4" s="1"/>
  <c r="G159" i="4"/>
  <c r="H158" i="4"/>
  <c r="H157" i="4"/>
  <c r="R117" i="4"/>
  <c r="R118" i="4" s="1"/>
  <c r="C115" i="4"/>
  <c r="C105" i="4"/>
  <c r="H68" i="4"/>
  <c r="Q68" i="4"/>
  <c r="C66" i="4"/>
  <c r="C86" i="4" s="1"/>
  <c r="C96" i="4" s="1"/>
  <c r="M76" i="4"/>
  <c r="C67" i="4"/>
  <c r="C87" i="4" s="1"/>
  <c r="C97" i="4" s="1"/>
  <c r="M77" i="4"/>
  <c r="I67" i="4"/>
  <c r="I77" i="4" s="1"/>
  <c r="S77" i="4" s="1"/>
  <c r="R67" i="4"/>
  <c r="R66" i="4"/>
  <c r="I66" i="4"/>
  <c r="I76" i="4" s="1"/>
  <c r="S76" i="4" s="1"/>
  <c r="I65" i="4"/>
  <c r="I75" i="4" s="1"/>
  <c r="S75" i="4" s="1"/>
  <c r="R65" i="4"/>
  <c r="R88" i="4"/>
  <c r="S86" i="4"/>
  <c r="S116" i="4" s="1"/>
  <c r="T86" i="4"/>
  <c r="T116" i="4" s="1"/>
  <c r="I88" i="4"/>
  <c r="S83" i="4"/>
  <c r="S113" i="4" s="1"/>
  <c r="S87" i="4"/>
  <c r="S117" i="4" s="1"/>
  <c r="T87" i="4"/>
  <c r="T117" i="4" s="1"/>
  <c r="S85" i="4"/>
  <c r="S115" i="4" s="1"/>
  <c r="T85" i="4"/>
  <c r="T115" i="4" s="1"/>
  <c r="T84" i="4"/>
  <c r="T114" i="4" s="1"/>
  <c r="S84" i="4"/>
  <c r="S114" i="4" s="1"/>
  <c r="C158" i="4"/>
  <c r="C127" i="4" s="1"/>
  <c r="C137" i="4" s="1"/>
  <c r="J63" i="4"/>
  <c r="S63" i="4"/>
  <c r="Q78" i="4"/>
  <c r="C157" i="4"/>
  <c r="C126" i="4" s="1"/>
  <c r="C136" i="4" s="1"/>
  <c r="I164" i="4"/>
  <c r="H78" i="4"/>
  <c r="G197" i="4" l="1"/>
  <c r="F49" i="1" s="1"/>
  <c r="F59" i="1" s="1"/>
  <c r="G152" i="5"/>
  <c r="F197" i="4"/>
  <c r="F207" i="4" s="1"/>
  <c r="F152" i="5"/>
  <c r="E197" i="4"/>
  <c r="D49" i="1" s="1"/>
  <c r="E152" i="5"/>
  <c r="H197" i="4"/>
  <c r="H207" i="4" s="1"/>
  <c r="H152" i="5"/>
  <c r="O168" i="5"/>
  <c r="K9" i="6" s="1"/>
  <c r="J73" i="4"/>
  <c r="J164" i="4" s="1"/>
  <c r="D197" i="4"/>
  <c r="D202" i="4" s="1"/>
  <c r="D164" i="4"/>
  <c r="D169" i="4" s="1"/>
  <c r="K41" i="2"/>
  <c r="J34" i="2"/>
  <c r="J59" i="2" s="1"/>
  <c r="D45" i="3"/>
  <c r="K147" i="5"/>
  <c r="U128" i="4"/>
  <c r="I137" i="5"/>
  <c r="K137" i="5" s="1"/>
  <c r="D65" i="2"/>
  <c r="D76" i="2" s="1"/>
  <c r="D86" i="2" s="1"/>
  <c r="D65" i="7"/>
  <c r="D76" i="7" s="1"/>
  <c r="D86" i="7" s="1"/>
  <c r="R138" i="4"/>
  <c r="C186" i="5"/>
  <c r="C197" i="5"/>
  <c r="U147" i="5"/>
  <c r="N152" i="5"/>
  <c r="C201" i="5"/>
  <c r="C190" i="5"/>
  <c r="C189" i="5"/>
  <c r="C200" i="5"/>
  <c r="F168" i="5"/>
  <c r="G49" i="1"/>
  <c r="H83" i="5"/>
  <c r="R83" i="5" s="1"/>
  <c r="I73" i="5"/>
  <c r="R73" i="5"/>
  <c r="Q77" i="5"/>
  <c r="P163" i="5"/>
  <c r="P168" i="5" s="1"/>
  <c r="J64" i="4"/>
  <c r="J74" i="4" s="1"/>
  <c r="J165" i="4" s="1"/>
  <c r="I74" i="4"/>
  <c r="I165" i="4" s="1"/>
  <c r="Q82" i="5"/>
  <c r="Q163" i="5" s="1"/>
  <c r="G87" i="5"/>
  <c r="Q84" i="5"/>
  <c r="Q165" i="5" s="1"/>
  <c r="G166" i="5"/>
  <c r="Q166" i="5"/>
  <c r="G163" i="5"/>
  <c r="H84" i="5"/>
  <c r="R84" i="5" s="1"/>
  <c r="R74" i="5"/>
  <c r="I74" i="5"/>
  <c r="H85" i="5"/>
  <c r="R85" i="5" s="1"/>
  <c r="R75" i="5"/>
  <c r="I75" i="5"/>
  <c r="Q83" i="5"/>
  <c r="Q164" i="5" s="1"/>
  <c r="H77" i="5"/>
  <c r="I72" i="5"/>
  <c r="H82" i="5"/>
  <c r="H163" i="5" s="1"/>
  <c r="R72" i="5"/>
  <c r="H86" i="5"/>
  <c r="R86" i="5" s="1"/>
  <c r="R76" i="5"/>
  <c r="I76" i="5"/>
  <c r="C211" i="5"/>
  <c r="C221" i="5" s="1"/>
  <c r="C231" i="5" s="1"/>
  <c r="C241" i="5" s="1"/>
  <c r="C252" i="5" s="1"/>
  <c r="C262" i="5"/>
  <c r="M166" i="5"/>
  <c r="C212" i="5"/>
  <c r="C222" i="5" s="1"/>
  <c r="C232" i="5" s="1"/>
  <c r="C242" i="5" s="1"/>
  <c r="C253" i="5" s="1"/>
  <c r="C263" i="5"/>
  <c r="M167" i="5"/>
  <c r="T136" i="5"/>
  <c r="T137" i="5" s="1"/>
  <c r="S137" i="5"/>
  <c r="R146" i="4"/>
  <c r="R167" i="4" s="1"/>
  <c r="H200" i="4"/>
  <c r="Q145" i="4"/>
  <c r="Q166" i="4" s="1"/>
  <c r="G199" i="4"/>
  <c r="R144" i="4"/>
  <c r="R165" i="4" s="1"/>
  <c r="H198" i="4"/>
  <c r="R147" i="4"/>
  <c r="R168" i="4" s="1"/>
  <c r="H201" i="4"/>
  <c r="R145" i="4"/>
  <c r="R166" i="4" s="1"/>
  <c r="H199" i="4"/>
  <c r="P145" i="4"/>
  <c r="P166" i="4" s="1"/>
  <c r="F199" i="4"/>
  <c r="P144" i="4"/>
  <c r="P165" i="4" s="1"/>
  <c r="F198" i="4"/>
  <c r="Q146" i="4"/>
  <c r="Q167" i="4" s="1"/>
  <c r="G200" i="4"/>
  <c r="O144" i="4"/>
  <c r="O165" i="4" s="1"/>
  <c r="E198" i="4"/>
  <c r="Q144" i="4"/>
  <c r="Q165" i="4" s="1"/>
  <c r="G198" i="4"/>
  <c r="H164" i="4"/>
  <c r="R143" i="4"/>
  <c r="N143" i="4"/>
  <c r="E164" i="4"/>
  <c r="O143" i="4"/>
  <c r="F164" i="4"/>
  <c r="P143" i="4"/>
  <c r="G164" i="4"/>
  <c r="Q143" i="4"/>
  <c r="R177" i="4"/>
  <c r="R176" i="4"/>
  <c r="Q179" i="4"/>
  <c r="R154" i="4"/>
  <c r="R178" i="4"/>
  <c r="R155" i="4"/>
  <c r="R175" i="4"/>
  <c r="I177" i="4"/>
  <c r="M165" i="4"/>
  <c r="C175" i="4"/>
  <c r="I178" i="4"/>
  <c r="I166" i="4"/>
  <c r="I176" i="4"/>
  <c r="H179" i="4"/>
  <c r="I174" i="4"/>
  <c r="H166" i="4"/>
  <c r="H167" i="4"/>
  <c r="I167" i="4"/>
  <c r="H168" i="4"/>
  <c r="R157" i="4"/>
  <c r="F166" i="4"/>
  <c r="Q159" i="4"/>
  <c r="I168" i="4"/>
  <c r="G167" i="4"/>
  <c r="H165" i="4"/>
  <c r="E165" i="4"/>
  <c r="G165" i="4"/>
  <c r="F165" i="4"/>
  <c r="R156" i="4"/>
  <c r="G166" i="4"/>
  <c r="S138" i="4"/>
  <c r="M145" i="4"/>
  <c r="C166" i="4"/>
  <c r="M136" i="4"/>
  <c r="C146" i="4"/>
  <c r="F148" i="4"/>
  <c r="G148" i="4"/>
  <c r="M137" i="4"/>
  <c r="C147" i="4"/>
  <c r="H148" i="4"/>
  <c r="E148" i="4"/>
  <c r="D148" i="4"/>
  <c r="T138" i="4"/>
  <c r="J138" i="4"/>
  <c r="K138" i="4" s="1"/>
  <c r="I154" i="4"/>
  <c r="S73" i="4"/>
  <c r="S154" i="4" s="1"/>
  <c r="I156" i="4"/>
  <c r="H159" i="4"/>
  <c r="R158" i="4"/>
  <c r="I158" i="4"/>
  <c r="M66" i="4"/>
  <c r="M86" i="4" s="1"/>
  <c r="M96" i="4" s="1"/>
  <c r="M116" i="4" s="1"/>
  <c r="M157" i="4"/>
  <c r="M126" i="4" s="1"/>
  <c r="M105" i="4"/>
  <c r="M67" i="4"/>
  <c r="M87" i="4" s="1"/>
  <c r="M97" i="4" s="1"/>
  <c r="M117" i="4" s="1"/>
  <c r="M158" i="4"/>
  <c r="M127" i="4" s="1"/>
  <c r="I157" i="4"/>
  <c r="T63" i="4"/>
  <c r="C117" i="4"/>
  <c r="C107" i="4"/>
  <c r="C116" i="4"/>
  <c r="C106" i="4"/>
  <c r="I68" i="4"/>
  <c r="S118" i="4"/>
  <c r="R68" i="4"/>
  <c r="S66" i="4"/>
  <c r="S177" i="4" s="1"/>
  <c r="J66" i="4"/>
  <c r="J76" i="4" s="1"/>
  <c r="T76" i="4" s="1"/>
  <c r="J67" i="4"/>
  <c r="S67" i="4"/>
  <c r="S178" i="4" s="1"/>
  <c r="J65" i="4"/>
  <c r="J75" i="4" s="1"/>
  <c r="T75" i="4" s="1"/>
  <c r="S65" i="4"/>
  <c r="S88" i="4"/>
  <c r="T83" i="4"/>
  <c r="T113" i="4" s="1"/>
  <c r="J88" i="4"/>
  <c r="K88" i="4" s="1"/>
  <c r="R78" i="4"/>
  <c r="E49" i="1" l="1"/>
  <c r="E59" i="1" s="1"/>
  <c r="D207" i="4"/>
  <c r="D212" i="4" s="1"/>
  <c r="C17" i="1" s="1"/>
  <c r="E207" i="4"/>
  <c r="D123" i="2"/>
  <c r="D134" i="2" s="1"/>
  <c r="D144" i="2" s="1"/>
  <c r="B105" i="2"/>
  <c r="G207" i="4"/>
  <c r="T73" i="4"/>
  <c r="T154" i="4" s="1"/>
  <c r="J77" i="4"/>
  <c r="T77" i="4" s="1"/>
  <c r="J41" i="2"/>
  <c r="T64" i="4"/>
  <c r="D138" i="7"/>
  <c r="D149" i="7" s="1"/>
  <c r="D159" i="7" s="1"/>
  <c r="B106" i="7"/>
  <c r="I78" i="4"/>
  <c r="D157" i="5"/>
  <c r="R148" i="4"/>
  <c r="H165" i="5"/>
  <c r="G168" i="5"/>
  <c r="H167" i="5"/>
  <c r="H164" i="5"/>
  <c r="S74" i="4"/>
  <c r="S155" i="4" s="1"/>
  <c r="I155" i="4"/>
  <c r="I159" i="4" s="1"/>
  <c r="H166" i="5"/>
  <c r="I175" i="4"/>
  <c r="I179" i="4" s="1"/>
  <c r="Q168" i="5"/>
  <c r="H157" i="5"/>
  <c r="R152" i="5"/>
  <c r="E50" i="1"/>
  <c r="E60" i="1" s="1"/>
  <c r="F208" i="4"/>
  <c r="H208" i="4"/>
  <c r="G50" i="1"/>
  <c r="G60" i="1" s="1"/>
  <c r="E157" i="5"/>
  <c r="O152" i="5"/>
  <c r="R166" i="5"/>
  <c r="Q154" i="5"/>
  <c r="Q155" i="5"/>
  <c r="R155" i="5"/>
  <c r="N157" i="5"/>
  <c r="Q153" i="5"/>
  <c r="J73" i="5"/>
  <c r="I83" i="5"/>
  <c r="S83" i="5" s="1"/>
  <c r="S73" i="5"/>
  <c r="F50" i="1"/>
  <c r="F60" i="1" s="1"/>
  <c r="G208" i="4"/>
  <c r="E51" i="1"/>
  <c r="E61" i="1" s="1"/>
  <c r="F209" i="4"/>
  <c r="F51" i="1"/>
  <c r="G209" i="4"/>
  <c r="R156" i="5"/>
  <c r="R77" i="5"/>
  <c r="F157" i="5"/>
  <c r="P152" i="5"/>
  <c r="P153" i="5"/>
  <c r="R153" i="5"/>
  <c r="I86" i="5"/>
  <c r="S86" i="5" s="1"/>
  <c r="S76" i="5"/>
  <c r="J76" i="5"/>
  <c r="R82" i="5"/>
  <c r="R87" i="5" s="1"/>
  <c r="H87" i="5"/>
  <c r="R154" i="5"/>
  <c r="O153" i="5"/>
  <c r="D50" i="1"/>
  <c r="D60" i="1" s="1"/>
  <c r="E208" i="4"/>
  <c r="G51" i="1"/>
  <c r="G61" i="1" s="1"/>
  <c r="H209" i="4"/>
  <c r="G52" i="1"/>
  <c r="G62" i="1" s="1"/>
  <c r="H210" i="4"/>
  <c r="J74" i="5"/>
  <c r="I84" i="5"/>
  <c r="S84" i="5" s="1"/>
  <c r="S74" i="5"/>
  <c r="G202" i="4"/>
  <c r="H202" i="4"/>
  <c r="R167" i="5"/>
  <c r="I77" i="5"/>
  <c r="I82" i="5"/>
  <c r="I163" i="5" s="1"/>
  <c r="S72" i="5"/>
  <c r="J72" i="5"/>
  <c r="Q87" i="5"/>
  <c r="D59" i="1"/>
  <c r="P154" i="5"/>
  <c r="F52" i="1"/>
  <c r="F62" i="1" s="1"/>
  <c r="G210" i="4"/>
  <c r="H211" i="4"/>
  <c r="G53" i="1"/>
  <c r="G63" i="1" s="1"/>
  <c r="I85" i="5"/>
  <c r="S85" i="5" s="1"/>
  <c r="J75" i="5"/>
  <c r="S75" i="5"/>
  <c r="R165" i="5"/>
  <c r="Q152" i="5"/>
  <c r="G157" i="5"/>
  <c r="F202" i="4"/>
  <c r="E202" i="4"/>
  <c r="R164" i="5"/>
  <c r="G59" i="1"/>
  <c r="U137" i="5"/>
  <c r="E169" i="4"/>
  <c r="M175" i="4"/>
  <c r="C208" i="4"/>
  <c r="C187" i="4"/>
  <c r="C198" i="4" s="1"/>
  <c r="R179" i="4"/>
  <c r="J177" i="4"/>
  <c r="J174" i="4"/>
  <c r="J175" i="4"/>
  <c r="M166" i="4"/>
  <c r="C176" i="4"/>
  <c r="S166" i="4"/>
  <c r="S176" i="4"/>
  <c r="S174" i="4"/>
  <c r="J176" i="4"/>
  <c r="F169" i="4"/>
  <c r="H169" i="4"/>
  <c r="R159" i="4"/>
  <c r="G169" i="4"/>
  <c r="I169" i="4"/>
  <c r="J167" i="4"/>
  <c r="S158" i="4"/>
  <c r="S168" i="4"/>
  <c r="S164" i="4"/>
  <c r="S157" i="4"/>
  <c r="S167" i="4"/>
  <c r="U138" i="4"/>
  <c r="N148" i="4"/>
  <c r="N164" i="4"/>
  <c r="N169" i="4" s="1"/>
  <c r="I9" i="1" s="1"/>
  <c r="G11" i="1" s="1"/>
  <c r="Q148" i="4"/>
  <c r="Q164" i="4"/>
  <c r="Q169" i="4" s="1"/>
  <c r="R164" i="4"/>
  <c r="R169" i="4" s="1"/>
  <c r="J166" i="4"/>
  <c r="O148" i="4"/>
  <c r="O164" i="4"/>
  <c r="O169" i="4" s="1"/>
  <c r="P148" i="4"/>
  <c r="P164" i="4"/>
  <c r="P169" i="4" s="1"/>
  <c r="M147" i="4"/>
  <c r="C168" i="4"/>
  <c r="M146" i="4"/>
  <c r="C167" i="4"/>
  <c r="K148" i="4"/>
  <c r="M106" i="4"/>
  <c r="J155" i="4"/>
  <c r="T74" i="4"/>
  <c r="T165" i="4" s="1"/>
  <c r="J154" i="4"/>
  <c r="M107" i="4"/>
  <c r="S156" i="4"/>
  <c r="T65" i="4"/>
  <c r="T176" i="4" s="1"/>
  <c r="J156" i="4"/>
  <c r="T67" i="4"/>
  <c r="T66" i="4"/>
  <c r="J157" i="4"/>
  <c r="T88" i="4"/>
  <c r="U88" i="4" s="1"/>
  <c r="T118" i="4"/>
  <c r="U118" i="4" s="1"/>
  <c r="S68" i="4"/>
  <c r="J68" i="4"/>
  <c r="E212" i="4" l="1"/>
  <c r="D17" i="1" s="1"/>
  <c r="D30" i="1" s="1"/>
  <c r="C11" i="1"/>
  <c r="C22" i="1" s="1"/>
  <c r="C30" i="1" s="1"/>
  <c r="C49" i="1" s="1"/>
  <c r="T174" i="4"/>
  <c r="T164" i="4"/>
  <c r="J168" i="4"/>
  <c r="J169" i="4" s="1"/>
  <c r="K169" i="4" s="1"/>
  <c r="J78" i="4"/>
  <c r="J158" i="4"/>
  <c r="J159" i="4" s="1"/>
  <c r="K159" i="4" s="1"/>
  <c r="J178" i="4"/>
  <c r="J179" i="4" s="1"/>
  <c r="K179" i="4" s="1"/>
  <c r="T178" i="4"/>
  <c r="T158" i="4"/>
  <c r="S78" i="4"/>
  <c r="S175" i="4"/>
  <c r="S179" i="4" s="1"/>
  <c r="S165" i="4"/>
  <c r="S169" i="4" s="1"/>
  <c r="F212" i="4"/>
  <c r="E17" i="1" s="1"/>
  <c r="E30" i="1" s="1"/>
  <c r="K202" i="4"/>
  <c r="H212" i="4"/>
  <c r="G17" i="1" s="1"/>
  <c r="G30" i="1" s="1"/>
  <c r="G212" i="4"/>
  <c r="F17" i="1" s="1"/>
  <c r="F30" i="1" s="1"/>
  <c r="B39" i="1"/>
  <c r="B39" i="6"/>
  <c r="B50" i="6" s="1"/>
  <c r="B60" i="6" s="1"/>
  <c r="D54" i="1"/>
  <c r="H168" i="5"/>
  <c r="I167" i="5"/>
  <c r="I166" i="5"/>
  <c r="K157" i="5"/>
  <c r="R163" i="5"/>
  <c r="R168" i="5" s="1"/>
  <c r="S77" i="5"/>
  <c r="J86" i="5"/>
  <c r="T86" i="5" s="1"/>
  <c r="T76" i="5"/>
  <c r="S82" i="5"/>
  <c r="S87" i="5" s="1"/>
  <c r="I87" i="5"/>
  <c r="S165" i="5"/>
  <c r="G64" i="1"/>
  <c r="Q157" i="5"/>
  <c r="S166" i="5"/>
  <c r="E54" i="1"/>
  <c r="J84" i="5"/>
  <c r="T84" i="5" s="1"/>
  <c r="T74" i="5"/>
  <c r="S167" i="5"/>
  <c r="O157" i="5"/>
  <c r="R157" i="5"/>
  <c r="T75" i="5"/>
  <c r="J85" i="5"/>
  <c r="T85" i="5" s="1"/>
  <c r="E64" i="1"/>
  <c r="S164" i="5"/>
  <c r="P157" i="5"/>
  <c r="I164" i="5"/>
  <c r="G54" i="1"/>
  <c r="I165" i="5"/>
  <c r="D64" i="1"/>
  <c r="T72" i="5"/>
  <c r="J77" i="5"/>
  <c r="J82" i="5"/>
  <c r="J163" i="5" s="1"/>
  <c r="F54" i="1"/>
  <c r="F61" i="1"/>
  <c r="F64" i="1" s="1"/>
  <c r="J83" i="5"/>
  <c r="T83" i="5" s="1"/>
  <c r="T73" i="5"/>
  <c r="M176" i="4"/>
  <c r="C209" i="4"/>
  <c r="C188" i="4"/>
  <c r="C199" i="4" s="1"/>
  <c r="T167" i="4"/>
  <c r="T177" i="4"/>
  <c r="M168" i="4"/>
  <c r="C178" i="4"/>
  <c r="T175" i="4"/>
  <c r="M167" i="4"/>
  <c r="C177" i="4"/>
  <c r="T155" i="4"/>
  <c r="U148" i="4"/>
  <c r="T168" i="4"/>
  <c r="T156" i="4"/>
  <c r="T166" i="4"/>
  <c r="S159" i="4"/>
  <c r="T157" i="4"/>
  <c r="T68" i="4"/>
  <c r="T78" i="4"/>
  <c r="D37" i="3" l="1"/>
  <c r="I19" i="2"/>
  <c r="H19" i="2"/>
  <c r="H16" i="2" s="1"/>
  <c r="G19" i="2"/>
  <c r="G16" i="2" s="1"/>
  <c r="K212" i="4"/>
  <c r="F19" i="2"/>
  <c r="F16" i="2" s="1"/>
  <c r="J17" i="1"/>
  <c r="B40" i="6"/>
  <c r="B51" i="6" s="1"/>
  <c r="B61" i="6" s="1"/>
  <c r="B40" i="1"/>
  <c r="B51" i="1" s="1"/>
  <c r="B61" i="1" s="1"/>
  <c r="J165" i="5"/>
  <c r="U157" i="5"/>
  <c r="S163" i="5"/>
  <c r="S168" i="5" s="1"/>
  <c r="T77" i="5"/>
  <c r="T165" i="5"/>
  <c r="T166" i="5"/>
  <c r="T82" i="5"/>
  <c r="J87" i="5"/>
  <c r="J166" i="5"/>
  <c r="J167" i="5"/>
  <c r="T164" i="5"/>
  <c r="J164" i="5"/>
  <c r="I168" i="5"/>
  <c r="T167" i="5"/>
  <c r="B50" i="1"/>
  <c r="B60" i="1" s="1"/>
  <c r="M177" i="4"/>
  <c r="C210" i="4"/>
  <c r="C189" i="4"/>
  <c r="C200" i="4" s="1"/>
  <c r="T179" i="4"/>
  <c r="U179" i="4" s="1"/>
  <c r="M178" i="4"/>
  <c r="C211" i="4"/>
  <c r="C190" i="4"/>
  <c r="C201" i="4" s="1"/>
  <c r="T169" i="4"/>
  <c r="U169" i="4" s="1"/>
  <c r="T159" i="4"/>
  <c r="U159" i="4" s="1"/>
  <c r="J30" i="1" l="1"/>
  <c r="I30" i="2"/>
  <c r="I16" i="2"/>
  <c r="G15" i="2"/>
  <c r="G17" i="2" s="1"/>
  <c r="G20" i="2" s="1"/>
  <c r="G23" i="2" s="1"/>
  <c r="F30" i="2"/>
  <c r="F15" i="2"/>
  <c r="F17" i="2" s="1"/>
  <c r="F20" i="2" s="1"/>
  <c r="F23" i="2" s="1"/>
  <c r="G30" i="2"/>
  <c r="H15" i="2"/>
  <c r="H30" i="2"/>
  <c r="I15" i="2"/>
  <c r="D67" i="2"/>
  <c r="D78" i="2" s="1"/>
  <c r="D88" i="2" s="1"/>
  <c r="D125" i="2" s="1"/>
  <c r="D136" i="2" s="1"/>
  <c r="D146" i="2" s="1"/>
  <c r="D67" i="7"/>
  <c r="D78" i="7" s="1"/>
  <c r="D88" i="7" s="1"/>
  <c r="D140" i="7" s="1"/>
  <c r="D151" i="7" s="1"/>
  <c r="D161" i="7" s="1"/>
  <c r="D66" i="2"/>
  <c r="D77" i="2" s="1"/>
  <c r="D87" i="2" s="1"/>
  <c r="D124" i="2" s="1"/>
  <c r="D135" i="2" s="1"/>
  <c r="D145" i="2" s="1"/>
  <c r="D66" i="7"/>
  <c r="D77" i="7" s="1"/>
  <c r="D87" i="7" s="1"/>
  <c r="B101" i="7" s="1"/>
  <c r="B41" i="6"/>
  <c r="B52" i="6" s="1"/>
  <c r="B62" i="6" s="1"/>
  <c r="B41" i="1"/>
  <c r="B52" i="1" s="1"/>
  <c r="B62" i="1" s="1"/>
  <c r="B42" i="6"/>
  <c r="B53" i="6" s="1"/>
  <c r="B63" i="6" s="1"/>
  <c r="B42" i="1"/>
  <c r="B53" i="1" s="1"/>
  <c r="B63" i="1" s="1"/>
  <c r="T163" i="5"/>
  <c r="T168" i="5" s="1"/>
  <c r="U168" i="5" s="1"/>
  <c r="T87" i="5"/>
  <c r="J168" i="5"/>
  <c r="K168" i="5" s="1"/>
  <c r="C5" i="2" l="1"/>
  <c r="E5" i="2" s="1"/>
  <c r="C54" i="1"/>
  <c r="J54" i="1" s="1"/>
  <c r="C38" i="1"/>
  <c r="C43" i="1" s="1"/>
  <c r="J43" i="1" s="1"/>
  <c r="E19" i="2"/>
  <c r="E16" i="2" s="1"/>
  <c r="J22" i="1"/>
  <c r="D139" i="7"/>
  <c r="D150" i="7" s="1"/>
  <c r="D160" i="7" s="1"/>
  <c r="B119" i="7"/>
  <c r="G21" i="2"/>
  <c r="H17" i="2"/>
  <c r="H20" i="2" s="1"/>
  <c r="H23" i="2" s="1"/>
  <c r="I17" i="2"/>
  <c r="I20" i="2" s="1"/>
  <c r="I23" i="2" s="1"/>
  <c r="D69" i="2"/>
  <c r="D80" i="2" s="1"/>
  <c r="D90" i="2" s="1"/>
  <c r="D127" i="2" s="1"/>
  <c r="D138" i="2" s="1"/>
  <c r="D148" i="2" s="1"/>
  <c r="D69" i="7"/>
  <c r="D80" i="7" s="1"/>
  <c r="D90" i="7" s="1"/>
  <c r="D142" i="7" s="1"/>
  <c r="D153" i="7" s="1"/>
  <c r="D163" i="7" s="1"/>
  <c r="D68" i="2"/>
  <c r="D79" i="2" s="1"/>
  <c r="D89" i="2" s="1"/>
  <c r="D126" i="2" s="1"/>
  <c r="D137" i="2" s="1"/>
  <c r="D147" i="2" s="1"/>
  <c r="D68" i="7"/>
  <c r="D79" i="7" s="1"/>
  <c r="D89" i="7" s="1"/>
  <c r="D141" i="7" s="1"/>
  <c r="D152" i="7" s="1"/>
  <c r="D162" i="7" s="1"/>
  <c r="F21" i="2"/>
  <c r="F34" i="2"/>
  <c r="E30" i="2" l="1"/>
  <c r="L30" i="2" s="1"/>
  <c r="E53" i="2"/>
  <c r="E15" i="2"/>
  <c r="E17" i="2" s="1"/>
  <c r="E20" i="2" s="1"/>
  <c r="E23" i="2" s="1"/>
  <c r="C59" i="1"/>
  <c r="C64" i="1" s="1"/>
  <c r="J64" i="1" s="1"/>
  <c r="G34" i="2"/>
  <c r="D42" i="3"/>
  <c r="F41" i="2"/>
  <c r="D41" i="3"/>
  <c r="I21" i="2"/>
  <c r="H21" i="2"/>
  <c r="G65" i="2" l="1"/>
  <c r="G70" i="2" s="1"/>
  <c r="G59" i="2"/>
  <c r="E34" i="2"/>
  <c r="E65" i="2" s="1"/>
  <c r="E21" i="2"/>
  <c r="G41" i="2"/>
  <c r="F65" i="2"/>
  <c r="F70" i="2" s="1"/>
  <c r="I34" i="2"/>
  <c r="I59" i="2" s="1"/>
  <c r="D44" i="3"/>
  <c r="H34" i="2"/>
  <c r="D43" i="3"/>
  <c r="G112" i="2" l="1"/>
  <c r="D40" i="3"/>
  <c r="F112" i="2"/>
  <c r="L34" i="2"/>
  <c r="E41" i="2"/>
  <c r="I41" i="2"/>
  <c r="H41" i="2"/>
  <c r="I80" i="2"/>
  <c r="I77" i="2"/>
  <c r="I78" i="2"/>
  <c r="I79" i="2"/>
  <c r="I76" i="2"/>
  <c r="I134" i="2" s="1"/>
  <c r="E123" i="2"/>
  <c r="D175" i="5" s="1"/>
  <c r="E70" i="2"/>
  <c r="L70" i="2" s="1"/>
  <c r="G109" i="2" l="1"/>
  <c r="G107" i="2"/>
  <c r="H112" i="2"/>
  <c r="L41" i="2"/>
  <c r="I86" i="2"/>
  <c r="I81" i="2"/>
  <c r="I87" i="2"/>
  <c r="I135" i="2"/>
  <c r="I138" i="2"/>
  <c r="I90" i="2"/>
  <c r="I88" i="2"/>
  <c r="I136" i="2"/>
  <c r="I137" i="2"/>
  <c r="I89" i="2"/>
  <c r="D180" i="5"/>
  <c r="D186" i="5"/>
  <c r="D191" i="5" s="1"/>
  <c r="K191" i="5" s="1"/>
  <c r="E128" i="2"/>
  <c r="F109" i="2" l="1"/>
  <c r="H109" i="2" s="1"/>
  <c r="F107" i="2"/>
  <c r="H107" i="2" s="1"/>
  <c r="H222" i="5"/>
  <c r="H253" i="5" s="1"/>
  <c r="I148" i="2"/>
  <c r="I146" i="2"/>
  <c r="H220" i="5"/>
  <c r="H251" i="5" s="1"/>
  <c r="I147" i="2"/>
  <c r="H221" i="5"/>
  <c r="H252" i="5" s="1"/>
  <c r="I91" i="2"/>
  <c r="I145" i="2"/>
  <c r="H219" i="5"/>
  <c r="H250" i="5" s="1"/>
  <c r="I144" i="2"/>
  <c r="H218" i="5"/>
  <c r="I139" i="2"/>
  <c r="D208" i="5"/>
  <c r="C38" i="6" s="1"/>
  <c r="H262" i="5" l="1"/>
  <c r="G52" i="6"/>
  <c r="H261" i="5"/>
  <c r="G51" i="6"/>
  <c r="H260" i="5"/>
  <c r="G50" i="6"/>
  <c r="H263" i="5"/>
  <c r="G53" i="6"/>
  <c r="I149" i="2"/>
  <c r="D56" i="3" s="1"/>
  <c r="H249" i="5"/>
  <c r="G49" i="6" s="1"/>
  <c r="H223" i="5"/>
  <c r="D213" i="5"/>
  <c r="H259" i="5" l="1"/>
  <c r="H254" i="5"/>
  <c r="H264" i="5" l="1"/>
  <c r="G17" i="6" s="1"/>
  <c r="G30" i="6" s="1"/>
  <c r="G61" i="6"/>
  <c r="G63" i="6"/>
  <c r="G60" i="6"/>
  <c r="G62" i="6"/>
  <c r="G59" i="6" l="1"/>
  <c r="G64" i="6" s="1"/>
  <c r="I19" i="7" s="1"/>
  <c r="I16" i="7" s="1"/>
  <c r="G54" i="6"/>
  <c r="I15" i="7" l="1"/>
  <c r="I30" i="7"/>
  <c r="I17" i="7" l="1"/>
  <c r="I20" i="7" s="1"/>
  <c r="I23" i="7" s="1"/>
  <c r="I21" i="7" l="1"/>
  <c r="I34" i="7" l="1"/>
  <c r="I59" i="7" s="1"/>
  <c r="I79" i="7" s="1"/>
  <c r="D70" i="3"/>
  <c r="I41" i="7" l="1"/>
  <c r="I77" i="7"/>
  <c r="I87" i="7" s="1"/>
  <c r="I78" i="7"/>
  <c r="I88" i="7" s="1"/>
  <c r="I76" i="7"/>
  <c r="I86" i="7" s="1"/>
  <c r="I80" i="7"/>
  <c r="I153" i="7" s="1"/>
  <c r="I163" i="7" s="1"/>
  <c r="I89" i="7"/>
  <c r="I152" i="7"/>
  <c r="I162" i="7" s="1"/>
  <c r="I151" i="7" l="1"/>
  <c r="I161" i="7" s="1"/>
  <c r="I149" i="7"/>
  <c r="I90" i="7"/>
  <c r="I91" i="7" s="1"/>
  <c r="I150" i="7"/>
  <c r="I160" i="7" s="1"/>
  <c r="I81" i="7"/>
  <c r="I154" i="7" l="1"/>
  <c r="I159" i="7"/>
  <c r="I164" i="7" s="1"/>
  <c r="D83" i="3" s="1"/>
  <c r="E59" i="2"/>
  <c r="E76" i="2" s="1"/>
  <c r="E81" i="2" l="1"/>
  <c r="E86" i="2"/>
  <c r="E91" i="2" s="1"/>
  <c r="E134" i="2"/>
  <c r="E139" i="2" l="1"/>
  <c r="D218" i="5"/>
  <c r="E144" i="2"/>
  <c r="E149" i="2" s="1"/>
  <c r="D52" i="3" s="1"/>
  <c r="D228" i="5" l="1"/>
  <c r="D233" i="5" s="1"/>
  <c r="K233" i="5" s="1"/>
  <c r="D223" i="5"/>
  <c r="D249" i="5" l="1"/>
  <c r="D254" i="5" s="1"/>
  <c r="D259" i="5" l="1"/>
  <c r="L53" i="2"/>
  <c r="H59" i="2"/>
  <c r="H78" i="2" s="1"/>
  <c r="G78" i="2"/>
  <c r="F59" i="2"/>
  <c r="D264" i="5" l="1"/>
  <c r="C17" i="6" s="1"/>
  <c r="C30" i="6" s="1"/>
  <c r="L59" i="2"/>
  <c r="F76" i="2"/>
  <c r="F108" i="2" s="1"/>
  <c r="G136" i="2"/>
  <c r="G88" i="2"/>
  <c r="H136" i="2"/>
  <c r="H88" i="2"/>
  <c r="H77" i="2"/>
  <c r="G76" i="2"/>
  <c r="H76" i="2"/>
  <c r="H79" i="2"/>
  <c r="F77" i="2"/>
  <c r="G77" i="2"/>
  <c r="G108" i="2" l="1"/>
  <c r="G110" i="2" s="1"/>
  <c r="G113" i="2" s="1"/>
  <c r="F86" i="2"/>
  <c r="F134" i="2"/>
  <c r="E218" i="5" s="1"/>
  <c r="E249" i="5" s="1"/>
  <c r="F110" i="2"/>
  <c r="F113" i="2" s="1"/>
  <c r="H135" i="2"/>
  <c r="H87" i="2"/>
  <c r="H137" i="2"/>
  <c r="H89" i="2"/>
  <c r="F220" i="5"/>
  <c r="F251" i="5" s="1"/>
  <c r="G146" i="2"/>
  <c r="F87" i="2"/>
  <c r="F91" i="2" s="1"/>
  <c r="F135" i="2"/>
  <c r="G134" i="2"/>
  <c r="G81" i="2"/>
  <c r="G86" i="2"/>
  <c r="G135" i="2"/>
  <c r="G87" i="2"/>
  <c r="H146" i="2"/>
  <c r="G220" i="5"/>
  <c r="G251" i="5" s="1"/>
  <c r="H86" i="2"/>
  <c r="H81" i="2"/>
  <c r="H134" i="2"/>
  <c r="F81" i="2"/>
  <c r="H108" i="2" l="1"/>
  <c r="F261" i="5"/>
  <c r="E51" i="6"/>
  <c r="G261" i="5"/>
  <c r="F51" i="6"/>
  <c r="L81" i="2"/>
  <c r="H110" i="2"/>
  <c r="H113" i="2" s="1"/>
  <c r="I113" i="2" s="1"/>
  <c r="H91" i="2"/>
  <c r="G221" i="5"/>
  <c r="G252" i="5" s="1"/>
  <c r="H147" i="2"/>
  <c r="F219" i="5"/>
  <c r="F250" i="5" s="1"/>
  <c r="G145" i="2"/>
  <c r="G91" i="2"/>
  <c r="H139" i="2"/>
  <c r="H144" i="2"/>
  <c r="G218" i="5"/>
  <c r="G139" i="2"/>
  <c r="F218" i="5"/>
  <c r="F249" i="5" s="1"/>
  <c r="F145" i="2"/>
  <c r="E219" i="5"/>
  <c r="F139" i="2"/>
  <c r="H145" i="2"/>
  <c r="G219" i="5"/>
  <c r="G250" i="5" s="1"/>
  <c r="G260" i="5" l="1"/>
  <c r="F50" i="6"/>
  <c r="F260" i="5"/>
  <c r="E50" i="6"/>
  <c r="G262" i="5"/>
  <c r="F52" i="6"/>
  <c r="H115" i="2"/>
  <c r="F115" i="2" s="1"/>
  <c r="F123" i="2" s="1"/>
  <c r="L91" i="2"/>
  <c r="E250" i="5"/>
  <c r="E223" i="5"/>
  <c r="F223" i="5"/>
  <c r="E49" i="6"/>
  <c r="H149" i="2"/>
  <c r="D55" i="3" s="1"/>
  <c r="G249" i="5"/>
  <c r="F49" i="6" s="1"/>
  <c r="G223" i="5"/>
  <c r="L139" i="2"/>
  <c r="G115" i="2" l="1"/>
  <c r="G123" i="2" s="1"/>
  <c r="F175" i="5" s="1"/>
  <c r="D49" i="3"/>
  <c r="E175" i="5"/>
  <c r="F128" i="2"/>
  <c r="F144" i="2"/>
  <c r="F149" i="2" s="1"/>
  <c r="D53" i="3" s="1"/>
  <c r="F254" i="5"/>
  <c r="K223" i="5"/>
  <c r="G259" i="5"/>
  <c r="G254" i="5"/>
  <c r="E260" i="5"/>
  <c r="E254" i="5"/>
  <c r="G144" i="2" l="1"/>
  <c r="G149" i="2" s="1"/>
  <c r="D54" i="3" s="1"/>
  <c r="G128" i="2"/>
  <c r="L128" i="2" s="1"/>
  <c r="G264" i="5"/>
  <c r="F17" i="6" s="1"/>
  <c r="F30" i="6" s="1"/>
  <c r="K254" i="5"/>
  <c r="F208" i="5"/>
  <c r="E38" i="6" s="1"/>
  <c r="E59" i="6" s="1"/>
  <c r="F180" i="5"/>
  <c r="E208" i="5"/>
  <c r="E259" i="5" s="1"/>
  <c r="E180" i="5"/>
  <c r="F61" i="6"/>
  <c r="F62" i="6"/>
  <c r="D59" i="3" l="1"/>
  <c r="L149" i="2"/>
  <c r="K180" i="5"/>
  <c r="F213" i="5"/>
  <c r="F259" i="5"/>
  <c r="E213" i="5"/>
  <c r="E264" i="5"/>
  <c r="O9" i="6" s="1"/>
  <c r="F60" i="6"/>
  <c r="F43" i="6"/>
  <c r="H53" i="7" s="1"/>
  <c r="F54" i="6"/>
  <c r="F59" i="6"/>
  <c r="F264" i="5" l="1"/>
  <c r="E17" i="6" s="1"/>
  <c r="E30" i="6" s="1"/>
  <c r="I9" i="6"/>
  <c r="G11" i="6" s="1"/>
  <c r="K213" i="5"/>
  <c r="D17" i="6"/>
  <c r="E61" i="6"/>
  <c r="F64" i="6"/>
  <c r="H19" i="7" s="1"/>
  <c r="H15" i="7" s="1"/>
  <c r="C11" i="6" l="1"/>
  <c r="D22" i="6" s="1"/>
  <c r="K264" i="5"/>
  <c r="H30" i="7"/>
  <c r="H16" i="7"/>
  <c r="H17" i="7" s="1"/>
  <c r="H20" i="7" s="1"/>
  <c r="H23" i="7" s="1"/>
  <c r="E54" i="6"/>
  <c r="E60" i="6"/>
  <c r="E43" i="6"/>
  <c r="G53" i="7" s="1"/>
  <c r="J17" i="6"/>
  <c r="D63" i="3" l="1"/>
  <c r="J22" i="6"/>
  <c r="D30" i="6"/>
  <c r="D38" i="6" s="1"/>
  <c r="E64" i="6"/>
  <c r="G19" i="7" s="1"/>
  <c r="G15" i="7" s="1"/>
  <c r="H21" i="7"/>
  <c r="H34" i="7" l="1"/>
  <c r="H59" i="7" s="1"/>
  <c r="D69" i="3"/>
  <c r="D39" i="6"/>
  <c r="D43" i="6" s="1"/>
  <c r="F53" i="7" s="1"/>
  <c r="D49" i="6"/>
  <c r="D59" i="6" s="1"/>
  <c r="D50" i="6"/>
  <c r="C49" i="6"/>
  <c r="C54" i="6" s="1"/>
  <c r="G30" i="7"/>
  <c r="G16" i="7"/>
  <c r="J30" i="6"/>
  <c r="C43" i="6"/>
  <c r="G17" i="7" l="1"/>
  <c r="G20" i="7" s="1"/>
  <c r="G23" i="7" s="1"/>
  <c r="H41" i="7"/>
  <c r="D60" i="6"/>
  <c r="D64" i="6" s="1"/>
  <c r="F19" i="7" s="1"/>
  <c r="F30" i="7" s="1"/>
  <c r="D54" i="6"/>
  <c r="J54" i="6" s="1"/>
  <c r="C59" i="6"/>
  <c r="C64" i="6" s="1"/>
  <c r="E19" i="7" s="1"/>
  <c r="E16" i="7" s="1"/>
  <c r="E53" i="7"/>
  <c r="J43" i="6"/>
  <c r="H77" i="7"/>
  <c r="H150" i="7" s="1"/>
  <c r="H66" i="7"/>
  <c r="H78" i="7"/>
  <c r="H79" i="7"/>
  <c r="H76" i="7"/>
  <c r="G34" i="7" l="1"/>
  <c r="G21" i="7"/>
  <c r="J64" i="6"/>
  <c r="C5" i="7" s="1"/>
  <c r="E5" i="7" s="1"/>
  <c r="F15" i="7"/>
  <c r="F16" i="7"/>
  <c r="H126" i="7"/>
  <c r="H122" i="7" s="1"/>
  <c r="E21" i="7"/>
  <c r="E30" i="7"/>
  <c r="L30" i="7" s="1"/>
  <c r="E15" i="7"/>
  <c r="E65" i="7"/>
  <c r="E138" i="7" s="1"/>
  <c r="L53" i="7"/>
  <c r="H152" i="7"/>
  <c r="H162" i="7" s="1"/>
  <c r="H89" i="7"/>
  <c r="H151" i="7"/>
  <c r="H161" i="7" s="1"/>
  <c r="H88" i="7"/>
  <c r="H87" i="7"/>
  <c r="H70" i="7"/>
  <c r="H86" i="7"/>
  <c r="H149" i="7"/>
  <c r="H81" i="7"/>
  <c r="D68" i="3" l="1"/>
  <c r="G59" i="7"/>
  <c r="G65" i="7" s="1"/>
  <c r="G113" i="7" s="1"/>
  <c r="G108" i="7" s="1"/>
  <c r="G41" i="7"/>
  <c r="F17" i="7"/>
  <c r="F20" i="7" s="1"/>
  <c r="F23" i="7" s="1"/>
  <c r="H123" i="7"/>
  <c r="H121" i="7"/>
  <c r="E17" i="7"/>
  <c r="E20" i="7" s="1"/>
  <c r="E23" i="7" s="1"/>
  <c r="H91" i="7"/>
  <c r="E70" i="7"/>
  <c r="E143" i="7"/>
  <c r="H154" i="7"/>
  <c r="H159" i="7"/>
  <c r="G66" i="7" l="1"/>
  <c r="G126" i="7" s="1"/>
  <c r="G77" i="7"/>
  <c r="G150" i="7" s="1"/>
  <c r="G76" i="7"/>
  <c r="G149" i="7" s="1"/>
  <c r="G78" i="7"/>
  <c r="G151" i="7" s="1"/>
  <c r="G161" i="7" s="1"/>
  <c r="H124" i="7"/>
  <c r="H127" i="7" s="1"/>
  <c r="G87" i="7" l="1"/>
  <c r="G70" i="7"/>
  <c r="G81" i="7"/>
  <c r="G109" i="7"/>
  <c r="G111" i="7" s="1"/>
  <c r="G114" i="7" s="1"/>
  <c r="G86" i="7"/>
  <c r="G154" i="7"/>
  <c r="G88" i="7"/>
  <c r="E34" i="7"/>
  <c r="E41" i="7" s="1"/>
  <c r="D66" i="3"/>
  <c r="F34" i="7"/>
  <c r="F41" i="7" s="1"/>
  <c r="D67" i="3"/>
  <c r="I110" i="7"/>
  <c r="G91" i="7" l="1"/>
  <c r="F59" i="7"/>
  <c r="F65" i="7" s="1"/>
  <c r="E59" i="7"/>
  <c r="E76" i="7" s="1"/>
  <c r="E149" i="7" s="1"/>
  <c r="E154" i="7" s="1"/>
  <c r="L34" i="7"/>
  <c r="L41" i="7"/>
  <c r="I126" i="7"/>
  <c r="F77" i="7" l="1"/>
  <c r="F150" i="7" s="1"/>
  <c r="F76" i="7"/>
  <c r="F81" i="7" s="1"/>
  <c r="F66" i="7"/>
  <c r="F139" i="7" s="1"/>
  <c r="E159" i="7"/>
  <c r="E164" i="7" s="1"/>
  <c r="D79" i="3" s="1"/>
  <c r="E81" i="7"/>
  <c r="E86" i="7"/>
  <c r="E91" i="7" s="1"/>
  <c r="L59" i="7"/>
  <c r="F113" i="7"/>
  <c r="I113" i="7" s="1"/>
  <c r="G123" i="7"/>
  <c r="I123" i="7" s="1"/>
  <c r="G122" i="7"/>
  <c r="I122" i="7" s="1"/>
  <c r="G121" i="7"/>
  <c r="F160" i="7" l="1"/>
  <c r="F86" i="7"/>
  <c r="F149" i="7"/>
  <c r="F154" i="7" s="1"/>
  <c r="L154" i="7" s="1"/>
  <c r="F87" i="7"/>
  <c r="F70" i="7"/>
  <c r="L70" i="7" s="1"/>
  <c r="F109" i="7"/>
  <c r="I109" i="7" s="1"/>
  <c r="F108" i="7"/>
  <c r="I108" i="7" s="1"/>
  <c r="L81" i="7"/>
  <c r="G124" i="7"/>
  <c r="G127" i="7" s="1"/>
  <c r="I121" i="7"/>
  <c r="F91" i="7" l="1"/>
  <c r="L91" i="7" s="1"/>
  <c r="F111" i="7"/>
  <c r="F114" i="7" s="1"/>
  <c r="I114" i="7" s="1"/>
  <c r="J114" i="7" s="1"/>
  <c r="I124" i="7"/>
  <c r="I127" i="7" s="1"/>
  <c r="J127" i="7" s="1"/>
  <c r="I129" i="7" s="1"/>
  <c r="I111" i="7" l="1"/>
  <c r="H129" i="7"/>
  <c r="H139" i="7" s="1"/>
  <c r="G129" i="7"/>
  <c r="G139" i="7" s="1"/>
  <c r="G160" i="7" s="1"/>
  <c r="I116" i="7"/>
  <c r="D75" i="3" s="1"/>
  <c r="G116" i="7" l="1"/>
  <c r="G138" i="7" s="1"/>
  <c r="G159" i="7" s="1"/>
  <c r="G164" i="7" s="1"/>
  <c r="D81" i="3" s="1"/>
  <c r="D76" i="3"/>
  <c r="F116" i="7"/>
  <c r="F138" i="7" s="1"/>
  <c r="H143" i="7"/>
  <c r="H160" i="7"/>
  <c r="H164" i="7" s="1"/>
  <c r="D82" i="3" s="1"/>
  <c r="G143" i="7" l="1"/>
  <c r="F143" i="7"/>
  <c r="F159" i="7"/>
  <c r="F164" i="7" s="1"/>
  <c r="L143" i="7" l="1"/>
  <c r="L164" i="7"/>
  <c r="D80" i="3"/>
  <c r="D8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Seguin Simon</author>
  </authors>
  <commentList>
    <comment ref="D6" authorId="0" shapeId="0" xr:uid="{00000000-0006-0000-0000-000001000000}">
      <text>
        <r>
          <rPr>
            <sz val="9"/>
            <color indexed="81"/>
            <rFont val="Tahoma"/>
            <family val="2"/>
          </rPr>
          <t xml:space="preserve">This is the only cell that should be changing in this illustrative example. This will select the scenario.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Seguin Simon</author>
  </authors>
  <commentList>
    <comment ref="K9" authorId="0" shapeId="0" xr:uid="{00000000-0006-0000-0500-000001000000}">
      <text>
        <r>
          <rPr>
            <sz val="9"/>
            <color indexed="81"/>
            <rFont val="Tahoma"/>
            <family val="2"/>
          </rPr>
          <t>This is total from the table 46.2 for the IFRS 17 group 2021</t>
        </r>
      </text>
    </comment>
    <comment ref="M9" authorId="0" shapeId="0" xr:uid="{00000000-0006-0000-0500-000002000000}">
      <text>
        <r>
          <rPr>
            <sz val="9"/>
            <color indexed="81"/>
            <rFont val="Tahoma"/>
            <family val="2"/>
          </rPr>
          <t>Since contracts are issue before effective date, we only need to add the amount from table 43.2 for the second original issue year and the IFRS 17 group 2021.</t>
        </r>
      </text>
    </comment>
    <comment ref="O9" authorId="0" shapeId="0" xr:uid="{00000000-0006-0000-0500-000003000000}">
      <text>
        <r>
          <rPr>
            <sz val="9"/>
            <color indexed="81"/>
            <rFont val="Tahoma"/>
            <family val="2"/>
          </rPr>
          <t>The total from table 55 for the IFRS 17 group 2021 provide this number.</t>
        </r>
      </text>
    </comment>
  </commentList>
</comments>
</file>

<file path=xl/sharedStrings.xml><?xml version="1.0" encoding="utf-8"?>
<sst xmlns="http://schemas.openxmlformats.org/spreadsheetml/2006/main" count="1097" uniqueCount="506">
  <si>
    <t>IFRS17 Group</t>
  </si>
  <si>
    <t>issue year</t>
  </si>
  <si>
    <t>NB</t>
  </si>
  <si>
    <t>REN</t>
  </si>
  <si>
    <t>Total</t>
  </si>
  <si>
    <t>in each year</t>
  </si>
  <si>
    <t xml:space="preserve">One year renewable contracts, with expected persistency rate of </t>
  </si>
  <si>
    <t xml:space="preserve">Undiscounted expected claims loss ratio is </t>
  </si>
  <si>
    <t>Insurer expects to sell</t>
  </si>
  <si>
    <t>Effective date is January 1st for each contract</t>
  </si>
  <si>
    <t xml:space="preserve">Issue date is </t>
  </si>
  <si>
    <t>months before the effective date</t>
  </si>
  <si>
    <t>Discount rates are the following :</t>
  </si>
  <si>
    <t xml:space="preserve">Assumptions as of December 31, 2020: </t>
  </si>
  <si>
    <t xml:space="preserve">Assumptions as of December 31, 2019: </t>
  </si>
  <si>
    <t>Number of months</t>
  </si>
  <si>
    <t>The discount curve is constant over time</t>
  </si>
  <si>
    <t>Premium are paid in full at the effective date.</t>
  </si>
  <si>
    <t>The amount of the initial large investment is</t>
  </si>
  <si>
    <t>The risk adjustment is assumed to be zero.</t>
  </si>
  <si>
    <t>IFRS 17 groups are defined by the name of the effective year of the policies.</t>
  </si>
  <si>
    <t>[0-1]</t>
  </si>
  <si>
    <t>]1-2]</t>
  </si>
  <si>
    <t>]2-3]</t>
  </si>
  <si>
    <t>]3-4]</t>
  </si>
  <si>
    <t>]4-5]</t>
  </si>
  <si>
    <t>]5-6]</t>
  </si>
  <si>
    <t>]6-7]</t>
  </si>
  <si>
    <t>AACFs do not accrue interest.</t>
  </si>
  <si>
    <t>All expenses related to initial large investment are attributed to portfolio.</t>
  </si>
  <si>
    <t>All expenses related to the initial large investment has been paid</t>
  </si>
  <si>
    <t>months before the effective date of the first contract.</t>
  </si>
  <si>
    <t>Calculations</t>
  </si>
  <si>
    <t>Premium</t>
  </si>
  <si>
    <t>Losses</t>
  </si>
  <si>
    <t>Expenses</t>
  </si>
  <si>
    <t>Net Cash flows</t>
  </si>
  <si>
    <t>Allocated Acq. Expenses</t>
  </si>
  <si>
    <t>AACFs</t>
  </si>
  <si>
    <t>AACF</t>
  </si>
  <si>
    <t>If Group 2020 contracts have been issued and circumstances tell that the group could be onerous, verify if group 2020 is onerous.</t>
  </si>
  <si>
    <t>This step is</t>
  </si>
  <si>
    <t>been issued.</t>
  </si>
  <si>
    <t>At the time of the large initial investment and at the time of the issuance of any contracts in 2019, the insurer</t>
  </si>
  <si>
    <t>has not yet any indication that any group is onerous.</t>
  </si>
  <si>
    <t>If circumstances indicated that the AACFs could be impaired, recoverability tests need to be performed.</t>
  </si>
  <si>
    <t>be performed.</t>
  </si>
  <si>
    <t>Test 1 - IFRS 17.B35D(a)</t>
  </si>
  <si>
    <t>Net discounted CFs excluding AACFs</t>
  </si>
  <si>
    <t>Discounted expenses not in AACFs as of Dec 31, 2019</t>
  </si>
  <si>
    <t>AACFs as of Dec 31, 2019</t>
  </si>
  <si>
    <t>Net discounted CFs after expenses and AACFs</t>
  </si>
  <si>
    <t>2 - Calculate the adjusted AACFs</t>
  </si>
  <si>
    <t>If applicable, derecognized amounts are now part of the LRC for group 2020.</t>
  </si>
  <si>
    <t>If applicable, derecognized amounts are incurred losses in the statement of financial performance in 2019.</t>
  </si>
  <si>
    <t>3 - If applicable, allocate to original issue years the remaining AACFs.</t>
  </si>
  <si>
    <t>to the distribution before the derecognition.</t>
  </si>
  <si>
    <t>Test 2 - IFRS 17.B35D(b)</t>
  </si>
  <si>
    <t>1 - Verification if future renewals can support AACFs by original issue year.</t>
  </si>
  <si>
    <t xml:space="preserve">Only AACFs allocated directly to the group is being tested, which is </t>
  </si>
  <si>
    <t>of the AACFs other than the large initial investments.</t>
  </si>
  <si>
    <t>Net discounted CFs excluding AACFs directly attributed to groups</t>
  </si>
  <si>
    <t>1 - Verification if some IFRS 17 groups fail the first recoverability test.</t>
  </si>
  <si>
    <t>starting in IFRS 17 group 2022</t>
  </si>
  <si>
    <r>
      <t xml:space="preserve">in each year, </t>
    </r>
    <r>
      <rPr>
        <sz val="11"/>
        <color rgb="FFFF0000"/>
        <rFont val="Calibri"/>
        <family val="2"/>
        <scheme val="minor"/>
      </rPr>
      <t>starting in IFRS 17 Group 2021</t>
    </r>
  </si>
  <si>
    <t>If Group 2021 contracts have been issued and circumstances tell that the group could be onerous, verify if group 2021 is onerous.</t>
  </si>
  <si>
    <t xml:space="preserve">= </t>
  </si>
  <si>
    <t>Net CFs withtout expenses</t>
  </si>
  <si>
    <t>-</t>
  </si>
  <si>
    <t>Future expenses</t>
  </si>
  <si>
    <t>If applicable, derecognized amounts are now part of the LRC for group 2021.</t>
  </si>
  <si>
    <t>Limitation : Persistency rate cannot be better than previous assumption.</t>
  </si>
  <si>
    <t>Limitation : Claims loss ratio cannot be better than previous assumption.</t>
  </si>
  <si>
    <t>Discounted expenses not in AACFs as of Dec 31, 2020</t>
  </si>
  <si>
    <t xml:space="preserve">This is </t>
  </si>
  <si>
    <t>pts worst than initial assumption.</t>
  </si>
  <si>
    <t>AACFs as of Dec 31, 2020</t>
  </si>
  <si>
    <t>There is only the first original issue year to test at December 31, 2019, and only if contracts are issued prior to effective date.</t>
  </si>
  <si>
    <t>AACFs directly attributed to groups as of Dec 31, 2019</t>
  </si>
  <si>
    <t>AACFs directly attributed to groups as of Dec 31, 2020</t>
  </si>
  <si>
    <t>Renewals of IFRS 17 Groups up to the latest AACFs directly attributed to groups are considered by original issue year.</t>
  </si>
  <si>
    <t>AACFs coming from attribution to portfolio</t>
  </si>
  <si>
    <t>IFRS 17 Group 2020 is never a renewal.</t>
  </si>
  <si>
    <t>Persistency rate</t>
  </si>
  <si>
    <t>Assumptions Dec 31, 2019</t>
  </si>
  <si>
    <t>Months issued before effective date</t>
  </si>
  <si>
    <t>Claims loss ratio</t>
  </si>
  <si>
    <t>Acquisition expenses of issuing new contracts are</t>
  </si>
  <si>
    <t>% of acquisition expenses on issue date</t>
  </si>
  <si>
    <t>% of acquisition expenses attributed to portfolio</t>
  </si>
  <si>
    <t>Acquisition expenses (excluding large initial investment)</t>
  </si>
  <si>
    <t>Large initial investment</t>
  </si>
  <si>
    <t>Time (year)</t>
  </si>
  <si>
    <t>Change in Assumptions Dec 31, 2020</t>
  </si>
  <si>
    <t>Persistency rate for years 2022 and after</t>
  </si>
  <si>
    <t>Claims loss ratio for years 2021 and after</t>
  </si>
  <si>
    <t>Scenario 1</t>
  </si>
  <si>
    <t>Scenario 2</t>
  </si>
  <si>
    <t>Scenario 3</t>
  </si>
  <si>
    <t>Scenario 4</t>
  </si>
  <si>
    <t>Scenario 5</t>
  </si>
  <si>
    <t>#</t>
  </si>
  <si>
    <t>Scenario 6</t>
  </si>
  <si>
    <t>Drop in persistency rate for years 2022 and after (pts)</t>
  </si>
  <si>
    <t>Increase in claims loss ratio for years 2021 and after (pts)</t>
  </si>
  <si>
    <t>Discount rates per year (monotonically increasing between 0% to 10%)</t>
  </si>
  <si>
    <t>Sheet A - Tables</t>
  </si>
  <si>
    <t>Sheet A - Explanations on formulas for each table</t>
  </si>
  <si>
    <t>Undiscounted losses are equal to the undiscounted premium multiplied by the claims loss ratio.</t>
  </si>
  <si>
    <t>There is a 0,5 added in the formula since payments are done mid-year.</t>
  </si>
  <si>
    <t>Original</t>
  </si>
  <si>
    <t>Table 2.1</t>
  </si>
  <si>
    <t>Table 2.2</t>
  </si>
  <si>
    <t>Table 3.1</t>
  </si>
  <si>
    <t>Table 3.2</t>
  </si>
  <si>
    <t>Table 4.1</t>
  </si>
  <si>
    <t>Table 4.2</t>
  </si>
  <si>
    <t>Undiscounted expenses are discounted by (1+discount rate_i)^(i), where i = IFRS 17 Group - 2020</t>
  </si>
  <si>
    <t>Table 23</t>
  </si>
  <si>
    <t>Table 32</t>
  </si>
  <si>
    <t>Sheet B - Tables</t>
  </si>
  <si>
    <t>Sheet B - Explanations on formulas for each table</t>
  </si>
  <si>
    <t>Sheet C - Tables</t>
  </si>
  <si>
    <t>Sheet C - Explanations on formulas for each table</t>
  </si>
  <si>
    <t>Table 5.1</t>
  </si>
  <si>
    <t>Table 5.2</t>
  </si>
  <si>
    <t>For other years, undiscounted expenses are discounted by (1+discount rate_i)^( (12-y)/12 + i-1), where i = IFRS 17 Group - 2020 and y = assumption # 3.</t>
  </si>
  <si>
    <t>Table 6.2</t>
  </si>
  <si>
    <t>There is no discounting for Group 2020. For that year, table 5.2 equal the value of table 5.1.</t>
  </si>
  <si>
    <t>Table 6.1</t>
  </si>
  <si>
    <t>For Group 2020, equal to assumption # 8. Zero for all other groups.</t>
  </si>
  <si>
    <t>There is no discounting for Group 2020. For that year, table 6.2 equals the value of table 6.1.</t>
  </si>
  <si>
    <t>Table 7.1</t>
  </si>
  <si>
    <t>Table 7.2</t>
  </si>
  <si>
    <t>Sum of table 4.1, 5.1 and 6.1 for each cell.</t>
  </si>
  <si>
    <t>Sum of table 4.2, 5.2 and 6.2 for each cell.</t>
  </si>
  <si>
    <t>of new contracts (new businesses) in each of next 5 years</t>
  </si>
  <si>
    <t>Insurer used PAA method.</t>
  </si>
  <si>
    <t>Financial Statements are produced yearly.</t>
  </si>
  <si>
    <t>Results as of December 31, 2019</t>
  </si>
  <si>
    <t>AACF after Recoverability Tests</t>
  </si>
  <si>
    <t>Impairment at Recoverability Test 1 - by IFRS 17 Group</t>
  </si>
  <si>
    <t>Impairment at Recoverability Test 2 - by Original Issue Year</t>
  </si>
  <si>
    <t>Results as of December 31, 2020</t>
  </si>
  <si>
    <t>since contracts</t>
  </si>
  <si>
    <t>Group 2020</t>
  </si>
  <si>
    <t>Onerous IFRS 17 Group 2020</t>
  </si>
  <si>
    <t>Onerous IFRS 17 Group 2021</t>
  </si>
  <si>
    <t>NO</t>
  </si>
  <si>
    <t>YES</t>
  </si>
  <si>
    <t xml:space="preserve">Original </t>
  </si>
  <si>
    <t>Expenses are equal to the amount of expenses in the first Original issue year of a cohort of contracts multiplied by the proportion paid at the issue date  (assumption # 6).</t>
  </si>
  <si>
    <t>Sheet D - Tables</t>
  </si>
  <si>
    <t>Sheet D - Explanations on formulas for each table</t>
  </si>
  <si>
    <t>Sheet E - Tables</t>
  </si>
  <si>
    <t>Sheet E - Explanations on formulas for each table</t>
  </si>
  <si>
    <t>Sheet F - Tables</t>
  </si>
  <si>
    <t>Sheet F - Explanations on formulas for each table</t>
  </si>
  <si>
    <t>Since there</t>
  </si>
  <si>
    <t>AACFs, tests</t>
  </si>
  <si>
    <t>Table 62</t>
  </si>
  <si>
    <t>Table 71</t>
  </si>
  <si>
    <t>Table 72</t>
  </si>
  <si>
    <t>Table 8.1</t>
  </si>
  <si>
    <t xml:space="preserve">Expenses from table 4.1 are equally allocated to the first three IFRS 17 groups for each original issue year. </t>
  </si>
  <si>
    <t>Table 8.2</t>
  </si>
  <si>
    <t xml:space="preserve">Expenses from table 4.2 are equally allocated to the first three IFRS 17 groups for each original issue year. </t>
  </si>
  <si>
    <t>The discounting is done at the time the expenses are paid. So even if expenses are allocated to future years, it is not discounted more.</t>
  </si>
  <si>
    <t>Table 9.1</t>
  </si>
  <si>
    <t>Table 9.2</t>
  </si>
  <si>
    <t xml:space="preserve">Expenses from table 5.1 are equally allocated to the first three IFRS 17 groups for each original issue year. </t>
  </si>
  <si>
    <t xml:space="preserve">Expenses from table 5.2 are equally allocated to the first three IFRS 17 groups for each original issue year. </t>
  </si>
  <si>
    <t>Table 10.1</t>
  </si>
  <si>
    <t>Table 10.2</t>
  </si>
  <si>
    <t>The amount of large initial investment (Table 6.1) is distributed in proportion to the undiscounted premium (table 2.1) for the first five IFRS 17 groups.</t>
  </si>
  <si>
    <t>Table 11.1</t>
  </si>
  <si>
    <t>It is equal to table 2.1 minus table 3.1 minus table 7.1</t>
  </si>
  <si>
    <t>Table 11.2</t>
  </si>
  <si>
    <t>It is equal to table 2.2 minus table 3.2 minus table 7.2</t>
  </si>
  <si>
    <t>Table 12.1</t>
  </si>
  <si>
    <t>Table 12.2</t>
  </si>
  <si>
    <t>It is equal to table 2.1 minus table 3.1 minus table 8.1 minus table 9.1 minus table 10.1</t>
  </si>
  <si>
    <t>It is equal to table 2.2 minus table 3.2 minus table 8.2 minus table 9.2 minus table 10.2</t>
  </si>
  <si>
    <t>Table 13.1</t>
  </si>
  <si>
    <t>Table 13.2</t>
  </si>
  <si>
    <t>It is equal to table 2.1 minus table 3.1</t>
  </si>
  <si>
    <t>It is equal to table 2.2 minus table 3.2</t>
  </si>
  <si>
    <t>Table 14</t>
  </si>
  <si>
    <t>If the issue date equals the effective date, there is no AACF at December 31, 2019.</t>
  </si>
  <si>
    <t>Only table 9.1 is used since only expenses paid before the effective date can create AACF in 2019.</t>
  </si>
  <si>
    <t>Table 15</t>
  </si>
  <si>
    <t>It is equal to table 10.1</t>
  </si>
  <si>
    <t>Table 16</t>
  </si>
  <si>
    <t>It is equal to table 14 plus table 15</t>
  </si>
  <si>
    <t>Table 17</t>
  </si>
  <si>
    <t>It is equal to table 16</t>
  </si>
  <si>
    <t>Table 18</t>
  </si>
  <si>
    <t>The only IFRS 17 group that can be onerous are groups with contracts issued. So it is only 2020 that can be in that situation.</t>
  </si>
  <si>
    <t>The whole AACF for the onerous group is derecognized : it is then equal to table 17 for the AACF in 2020.</t>
  </si>
  <si>
    <t>Table 19</t>
  </si>
  <si>
    <t>It is equal to table 17 minus table 18</t>
  </si>
  <si>
    <t>Table 20</t>
  </si>
  <si>
    <t>Table 21</t>
  </si>
  <si>
    <t>Table 22</t>
  </si>
  <si>
    <t>It is equal to table 14, except for the first original issue year and first AACF year, where it could be zero if it has been derecognized because of an onerous group.</t>
  </si>
  <si>
    <t>It is equal to table 15, except for the first original issue year and first AACF year, where it could be zero if it has been derecognized because of an onerous group.</t>
  </si>
  <si>
    <t>It is equal to table 20 plus table 21.</t>
  </si>
  <si>
    <t>AACFs are from the table 19, but it is equivalent to the the total per year from table 22</t>
  </si>
  <si>
    <t>Impairment / Derecognition in AACFs</t>
  </si>
  <si>
    <t>If the net discounted CFs after expenses and AACFs are negative, there is an impairment and it is required to derecognize the amount equal to that negative amount.</t>
  </si>
  <si>
    <t>Table 24</t>
  </si>
  <si>
    <t>AACFs are from the table 23, but it is equivalent to the the total per year from table 22 (or equivalent to table 19)</t>
  </si>
  <si>
    <t>Table 25</t>
  </si>
  <si>
    <t>Impairment from table 23</t>
  </si>
  <si>
    <t>Table 26</t>
  </si>
  <si>
    <t>It is equal to table 24 minus table 25</t>
  </si>
  <si>
    <t>Total per year of table 20</t>
  </si>
  <si>
    <t>Table 27</t>
  </si>
  <si>
    <t>Table 28</t>
  </si>
  <si>
    <t>Table 29</t>
  </si>
  <si>
    <t>It is equal to table 20 minus table 25</t>
  </si>
  <si>
    <t>Table 31</t>
  </si>
  <si>
    <t>It is equal to table 29 plus table 30</t>
  </si>
  <si>
    <t>Table 30</t>
  </si>
  <si>
    <t>If there is no reduction in AACFs for large investment per year (table 28), then it is equal to table 21</t>
  </si>
  <si>
    <t>Table 34</t>
  </si>
  <si>
    <t>It is equal to table 30.</t>
  </si>
  <si>
    <t>The second test does not apply to the large initial investment, since those expenses are not specific to a group.</t>
  </si>
  <si>
    <t>Table 35</t>
  </si>
  <si>
    <t>It is equal to table 33 plus table 34</t>
  </si>
  <si>
    <t>Table 33</t>
  </si>
  <si>
    <t>IFRS 17 group 2020 is not a renewal as of December 31, so the value of that year is equal to table 29.</t>
  </si>
  <si>
    <t>If there is no impairment calculated on the total of all IFRS 17 groups, there is no impairment allocated. The total impairment cannot be greater than the total AACFs on row 112.</t>
  </si>
  <si>
    <t>Row 17 equals row 15 minus row 16</t>
  </si>
  <si>
    <t>Row 20 equals row 17 minus row 19.</t>
  </si>
  <si>
    <t>Row 113 equals row 110 minus row 112.</t>
  </si>
  <si>
    <t>Row 110 equals row 107 minus row 108 minus row 109.</t>
  </si>
  <si>
    <t>This workbook is not supporting this possibility.</t>
  </si>
  <si>
    <t>Undiscounted premium are equal to the premium in the original issue year multiplied by the persistency rate for each following group. For IFRS 17 group 2020 and 2021, the premium is equal to table 2.1</t>
  </si>
  <si>
    <t>Table 37.1</t>
  </si>
  <si>
    <t>Table 37.2</t>
  </si>
  <si>
    <t>Undiscounted premium are discounted by (1+discount rate_i)^(i), where i = IFRS 17 Group - 2021</t>
  </si>
  <si>
    <t>IFRS 17 group 2020 and 2021 are not discounted.</t>
  </si>
  <si>
    <t>Table 38.1</t>
  </si>
  <si>
    <t>Table 38.2</t>
  </si>
  <si>
    <t>Undiscounted losses are discounted by (1+discount rate_i)^(i+0,5), where i = IFRS 17 Group - 2021.</t>
  </si>
  <si>
    <t>IFRS 17 group 2020 is not discounted.</t>
  </si>
  <si>
    <t>Table 39.1</t>
  </si>
  <si>
    <t>Table 39.2</t>
  </si>
  <si>
    <t>Table 40.1</t>
  </si>
  <si>
    <t>Table 40.2</t>
  </si>
  <si>
    <t>Table 41.1</t>
  </si>
  <si>
    <t>Table 41.2</t>
  </si>
  <si>
    <t>Table 42.1</t>
  </si>
  <si>
    <t>Table 42.2</t>
  </si>
  <si>
    <t>Undiscounted expenses are discounted by (1+discount rate_i)^(i), where i = IFRS 17 Group - 2021</t>
  </si>
  <si>
    <t>For other years, undiscounted expenses are discounted by (1+discount rate_i)^( (12-y)/12 + i-1), where i = IFRS 17 Group - 2021 and y = assumption # 3.</t>
  </si>
  <si>
    <t>There is no discounting for Group 2020. For that year, table 41.2 equals the value of table 41.1.</t>
  </si>
  <si>
    <t>Sum of table 39.1, 40.1 and 41.1 for each cell.</t>
  </si>
  <si>
    <t>Sum of table 39.2, 40.2 and 41.2 for each cell.</t>
  </si>
  <si>
    <t>Table 43.1</t>
  </si>
  <si>
    <t>Table 43.2</t>
  </si>
  <si>
    <t>Table 44.1</t>
  </si>
  <si>
    <t>Table 44.2</t>
  </si>
  <si>
    <t>Table 45.1</t>
  </si>
  <si>
    <t>Table 45.2</t>
  </si>
  <si>
    <t xml:space="preserve">Expenses from table 39.1 are equally allocated to the first three IFRS 17 groups for each original issue year. </t>
  </si>
  <si>
    <t xml:space="preserve">Expenses from table 39.2 are equally allocated to the first three IFRS 17 groups for each original issue year. </t>
  </si>
  <si>
    <t xml:space="preserve">Expenses from table 40.1 are equally allocated to the first three IFRS 17 groups for each original issue year. </t>
  </si>
  <si>
    <t xml:space="preserve">Expenses from table 40.2 are equally allocated to the first three IFRS 17 groups for each original issue year. </t>
  </si>
  <si>
    <t>It is equal to the the table 45.1</t>
  </si>
  <si>
    <t>Table 46.1</t>
  </si>
  <si>
    <t>Table 46.2</t>
  </si>
  <si>
    <t>It is equal to table 37.1 minus table 38.1</t>
  </si>
  <si>
    <t>It is equal to table 37.2 minus table 38.2</t>
  </si>
  <si>
    <t>Table 47</t>
  </si>
  <si>
    <t>It is equal to table 33</t>
  </si>
  <si>
    <t>Table 48</t>
  </si>
  <si>
    <t>For years 2021 and 2022, those groups are not effective yet, so there is no derecognition for those.</t>
  </si>
  <si>
    <t>Table 49</t>
  </si>
  <si>
    <t>For the second original issue year, there will be recognition only the contracts are issued before the effective date and we need to recognize only the expenses from table 44.1.</t>
  </si>
  <si>
    <t>Table 50</t>
  </si>
  <si>
    <t>It is equal to table 47 minus table 48 plus table 49.</t>
  </si>
  <si>
    <t>Table 51</t>
  </si>
  <si>
    <t>It is equal to table 34</t>
  </si>
  <si>
    <t>Table 53</t>
  </si>
  <si>
    <t>Since there is no large initial investment other than in 2019, all the amounts are equal to zero.</t>
  </si>
  <si>
    <t>Table 54</t>
  </si>
  <si>
    <t>It is equal to table 51 minus table 52 plus table 53.</t>
  </si>
  <si>
    <t>Table 55</t>
  </si>
  <si>
    <t>It is equal to table 50 plus table 54.</t>
  </si>
  <si>
    <t>Table 52</t>
  </si>
  <si>
    <t>For years 2021 to 2024, those groups are not effective yet, so there is no derecognition for those.</t>
  </si>
  <si>
    <t>Table 56</t>
  </si>
  <si>
    <t>Table 57</t>
  </si>
  <si>
    <t>Table 58</t>
  </si>
  <si>
    <t>It is equal to table 56 minus table 57</t>
  </si>
  <si>
    <t>It is equal to total of table 55.</t>
  </si>
  <si>
    <t>The only IFRS 17 group that can be onerous are groups with contracts issued. So it is only 2021 that can be in that situation.</t>
  </si>
  <si>
    <t>The whole AACF for the onerous group is derecognized : it is then equal to table 56 for the AACF in 2021.</t>
  </si>
  <si>
    <t>Table 59</t>
  </si>
  <si>
    <t>Table 60</t>
  </si>
  <si>
    <t>Table 61</t>
  </si>
  <si>
    <t>It is equal to table 50, except for AACF 2021, where it could be zero if it has been derecognized because of an onerous group.</t>
  </si>
  <si>
    <t>It is equal to table 54, except for AACF 2021, where it could be zero if it has been derecognized because of an onerous group.</t>
  </si>
  <si>
    <t>AACFs are from the table 19, but it is equivalent to the the total per year from table 61</t>
  </si>
  <si>
    <t>Also, there can be an impairment only if there are AACFs to begin with (AACF for the year is positive in row 19) and it cannot be bigger than the AACF per year.</t>
  </si>
  <si>
    <t>Table 63</t>
  </si>
  <si>
    <t>AACFs are from the table 62, but it is equivalent to the the total per year from table 61</t>
  </si>
  <si>
    <t>Table 64</t>
  </si>
  <si>
    <t>Impairment from table 62</t>
  </si>
  <si>
    <t>Table 65</t>
  </si>
  <si>
    <t>It is equal to table 63 minus table 64</t>
  </si>
  <si>
    <t>Total per year of table 59</t>
  </si>
  <si>
    <t>Table 66</t>
  </si>
  <si>
    <t>Table 67</t>
  </si>
  <si>
    <t>It is equal to the excess of derecognition above what can be done in the other expenses than large initial investment (table 66). The minimum is always zero.</t>
  </si>
  <si>
    <t>It is equal to the excess of derecognition above what can be done in the other expenses than large initial investment (table 27). The minimum is always zero.</t>
  </si>
  <si>
    <t>Table 68</t>
  </si>
  <si>
    <t>If there is no reduction in AACFs for large investment per year (table 67), then it is equal to table 60</t>
  </si>
  <si>
    <t>If there is a reduction in AACFs for large investment as per table 28 in a given IFRS 17 year, the reduction per oririginal issue is made proportionaly to the AACFs before the reduction (table 21).</t>
  </si>
  <si>
    <t>The proportion of a cell in table 21 compared to the total of its column in table 21 is maintained in this table.</t>
  </si>
  <si>
    <t>The proportion of a cell in table 60 compared to the total of its column in table 60 is maintained in this table.</t>
  </si>
  <si>
    <t>Table 69</t>
  </si>
  <si>
    <t>Table 70</t>
  </si>
  <si>
    <t>It is equal to table 68 plus table 69</t>
  </si>
  <si>
    <t>First, there need to have AACFs for expenses other than large initial investment for a year to have a value different than zero.</t>
  </si>
  <si>
    <t>Second, if there is a need to do an additional reduction in the large initial investment, it means that we have to remove all AACFs other than large initial investments in that year.</t>
  </si>
  <si>
    <t>Row 111 equals row 108 minus row 109 minus row 110.</t>
  </si>
  <si>
    <t>Row 114 equals row 111 minus row 113.</t>
  </si>
  <si>
    <t>If there is no impairment calculated on the total of all IFRS 17 groups, there is no impairment allocated. The total impairment cannot be greater than the total AACFs on row 113.</t>
  </si>
  <si>
    <t>Row 124 equals row 121 minus row 122 minus row 123.</t>
  </si>
  <si>
    <t>Row 127 equals row 124 minus row 126.</t>
  </si>
  <si>
    <t>If there is no impairment calculated on the total of all IFRS 17 groups, there is no impairment allocated. The total impairment cannot be greater than the total AACFs on row 126.</t>
  </si>
  <si>
    <t>It is alwasy zero, since all expenses for that original year are in AACFs.</t>
  </si>
  <si>
    <t>Table 73</t>
  </si>
  <si>
    <t>Table 74</t>
  </si>
  <si>
    <t>Table 75</t>
  </si>
  <si>
    <t>It is equal to table 73 plus table 74</t>
  </si>
  <si>
    <t>It is equal to table 69.</t>
  </si>
  <si>
    <t>IFRS 17 group 2020 is not a renewal as of December 31, so the value of that year is equal to table 68.</t>
  </si>
  <si>
    <t>This amount is distributed proportionately to expected undiscounted premium as of December 31, 2019 for the first five years.</t>
  </si>
  <si>
    <t>Insurer starts a new line of business with no existing contracts.</t>
  </si>
  <si>
    <t>All expenses related to the initial large investment have been paid</t>
  </si>
  <si>
    <t>This respects the Standard, since no policies issued more than one year apart are combined in the same group.</t>
  </si>
  <si>
    <t>Undiscounted premium is equal to the premium in the original issue year multiplied by the persistency rate for each following group.</t>
  </si>
  <si>
    <t>Discounted premium = Undiscounted premium divided by (1+discount rate_i)^(i), where i = IFRS 17 Group - 2020</t>
  </si>
  <si>
    <t>Discounted losses = Undiscounted losses divided by (1+discount rate_i)^(i+0,5), where i = IFRS 17 Group - 2020.</t>
  </si>
  <si>
    <t>1 - Verification if some IFRS 17 groups pass the first recoverability test.</t>
  </si>
  <si>
    <t>Annual premium for each new cohort</t>
  </si>
  <si>
    <t>Group 2020 is never a renewal.</t>
  </si>
  <si>
    <t>It is equal to table 59 plus table 60.</t>
  </si>
  <si>
    <t>Group 2021</t>
  </si>
  <si>
    <t>% of acquisition expenses on effective date</t>
  </si>
  <si>
    <t>% of acquisition expenses attributed to group</t>
  </si>
  <si>
    <t>Losses are paid in one payment mid-year in the first year of the contract.</t>
  </si>
  <si>
    <t>There is no additional expenses for renewals.</t>
  </si>
  <si>
    <t>All expenses are acquisition expenses.</t>
  </si>
  <si>
    <t>of expenses are paid on effective date</t>
  </si>
  <si>
    <t>of expenses are paid on issue date</t>
  </si>
  <si>
    <t>of expenses are attributed to portfolio</t>
  </si>
  <si>
    <t>of expenses are attributed directrly to the group</t>
  </si>
  <si>
    <t>The proportion of expenses directly attributable to the group is constant at all time.</t>
  </si>
  <si>
    <t>Insurer decides to attribute these expenses equally over the first contract and next two renewals</t>
  </si>
  <si>
    <t>The amount of large initial investment (Table 41.1) is distributed in proportion to the undiscounted premium (table 6.1) for the first five IFRS 17 groups. It is then link to the original calculations in table 10.1</t>
  </si>
  <si>
    <t>This table is not always equal to table 45.1, because impairment/derecognition could have been done.</t>
  </si>
  <si>
    <t>Early in the year 2020, the insurer has no reason to believe that contracts are onerous.</t>
  </si>
  <si>
    <t>need to be recognized at December 31, 2019</t>
  </si>
  <si>
    <t>need to be recognized at December 31, 2020</t>
  </si>
  <si>
    <t>It is equal to table 9.1 for the first original issue year only if the contracts are issued before the effective date.</t>
  </si>
  <si>
    <t>Expenses from table 8.1 will generate AACF for future IFRS 17 Groups when they will be paid, starting in calendar year 2020. Consequently, they have no impact yet on AACF as of December 31, 2019.</t>
  </si>
  <si>
    <r>
      <t xml:space="preserve">Table 4.1 : Expected undiscounted expenses paid at </t>
    </r>
    <r>
      <rPr>
        <b/>
        <u/>
        <sz val="11"/>
        <rFont val="Calibri"/>
        <family val="2"/>
        <scheme val="minor"/>
      </rPr>
      <t>effective date</t>
    </r>
    <r>
      <rPr>
        <b/>
        <sz val="11"/>
        <rFont val="Calibri"/>
        <family val="2"/>
        <scheme val="minor"/>
      </rPr>
      <t xml:space="preserve"> if expenses recognized immediately</t>
    </r>
  </si>
  <si>
    <t>Table 1 : New business and renewals per year</t>
  </si>
  <si>
    <t>Table 2.1 : Expected undiscounted premium</t>
  </si>
  <si>
    <t>Table 2.2 : Expected discounted premium at January 1, 2020</t>
  </si>
  <si>
    <t>Table 3.1 : Expected undiscounted losses</t>
  </si>
  <si>
    <t>Table 3.2 : Expected discounted losses at January 1, 2020</t>
  </si>
  <si>
    <r>
      <t xml:space="preserve">Table 4.2 : Expected discounted expenses paid at </t>
    </r>
    <r>
      <rPr>
        <b/>
        <u/>
        <sz val="11"/>
        <rFont val="Calibri"/>
        <family val="2"/>
        <scheme val="minor"/>
      </rPr>
      <t>effective date</t>
    </r>
    <r>
      <rPr>
        <b/>
        <sz val="11"/>
        <rFont val="Calibri"/>
        <family val="2"/>
        <scheme val="minor"/>
      </rPr>
      <t xml:space="preserve"> if expenses recognized immediately, discounted to January 1, 2020</t>
    </r>
  </si>
  <si>
    <t>Expenses are equal to the amount of expenses in the first original issue year of a cohort of contracts multiplied by the proportion paid at the effective date (1 - assumption # 6).</t>
  </si>
  <si>
    <r>
      <t xml:space="preserve">Table 5.1 : Expected undiscounted expenses paid at </t>
    </r>
    <r>
      <rPr>
        <b/>
        <u/>
        <sz val="11"/>
        <rFont val="Calibri"/>
        <family val="2"/>
        <scheme val="minor"/>
      </rPr>
      <t>issue date</t>
    </r>
    <r>
      <rPr>
        <b/>
        <sz val="11"/>
        <rFont val="Calibri"/>
        <family val="2"/>
        <scheme val="minor"/>
      </rPr>
      <t xml:space="preserve"> if expenses recognized immediately</t>
    </r>
  </si>
  <si>
    <r>
      <t xml:space="preserve">Table 5.2 : Expected discounted expenses paid at </t>
    </r>
    <r>
      <rPr>
        <b/>
        <u/>
        <sz val="11"/>
        <rFont val="Calibri"/>
        <family val="2"/>
        <scheme val="minor"/>
      </rPr>
      <t>issue date</t>
    </r>
    <r>
      <rPr>
        <b/>
        <sz val="11"/>
        <rFont val="Calibri"/>
        <family val="2"/>
        <scheme val="minor"/>
      </rPr>
      <t xml:space="preserve"> if expenses recognized immediately, discounted to January 1, 2020</t>
    </r>
  </si>
  <si>
    <t>Table 6.1 : Expected undiscounted expenses paid for large initial investment if expenses recognized immediately</t>
  </si>
  <si>
    <t>Table 6.2 : Expected discounted expenses paid for large initial investment if expenses recognized immediately, discounted to January 1, 2020</t>
  </si>
  <si>
    <t>Table 7.1 : Total expected undiscounted expenses if expenses recognized immediately</t>
  </si>
  <si>
    <t>Table 7.2 : Total expected discounted expenses if expenses recognized immediately, discounted to January 1, 2020</t>
  </si>
  <si>
    <r>
      <t>Table 8.1 : Undiscounted acquisition expenses paid at e</t>
    </r>
    <r>
      <rPr>
        <b/>
        <u/>
        <sz val="11"/>
        <rFont val="Calibri"/>
        <family val="2"/>
        <scheme val="minor"/>
      </rPr>
      <t>ffective date</t>
    </r>
    <r>
      <rPr>
        <b/>
        <sz val="11"/>
        <rFont val="Calibri"/>
        <family val="2"/>
        <scheme val="minor"/>
      </rPr>
      <t xml:space="preserve"> allocated to each group, excluding large initial investment</t>
    </r>
  </si>
  <si>
    <r>
      <t>Table 8.2 : Discounted acquisition expenses paid at e</t>
    </r>
    <r>
      <rPr>
        <b/>
        <u/>
        <sz val="11"/>
        <rFont val="Calibri"/>
        <family val="2"/>
        <scheme val="minor"/>
      </rPr>
      <t>ffective date</t>
    </r>
    <r>
      <rPr>
        <b/>
        <sz val="11"/>
        <rFont val="Calibri"/>
        <family val="2"/>
        <scheme val="minor"/>
      </rPr>
      <t xml:space="preserve"> allocated to each group, excluding large initial investment, discounted to January 1, 2020</t>
    </r>
  </si>
  <si>
    <r>
      <t>Table 9.1 : Undiscounted acquisition expenses paid at i</t>
    </r>
    <r>
      <rPr>
        <b/>
        <u/>
        <sz val="11"/>
        <rFont val="Calibri"/>
        <family val="2"/>
        <scheme val="minor"/>
      </rPr>
      <t>ssue date</t>
    </r>
    <r>
      <rPr>
        <b/>
        <sz val="11"/>
        <rFont val="Calibri"/>
        <family val="2"/>
        <scheme val="minor"/>
      </rPr>
      <t xml:space="preserve"> allocated to each group, excluding large initial investment</t>
    </r>
  </si>
  <si>
    <r>
      <t>Table 9.2 : Discounted acquisition expenses paid at i</t>
    </r>
    <r>
      <rPr>
        <b/>
        <u/>
        <sz val="11"/>
        <rFont val="Calibri"/>
        <family val="2"/>
        <scheme val="minor"/>
      </rPr>
      <t>ssue date</t>
    </r>
    <r>
      <rPr>
        <b/>
        <sz val="11"/>
        <rFont val="Calibri"/>
        <family val="2"/>
        <scheme val="minor"/>
      </rPr>
      <t xml:space="preserve"> allocated to each group, excluding large initial investment, discounted to January 1, 2020</t>
    </r>
  </si>
  <si>
    <t>Table 10.1 : Undiscounted acquisition expenses for large initial investment allocated to each group</t>
  </si>
  <si>
    <t>Table 10.2 : Discounted acquisition expenses for large initial investment allocated to each group, discounted to January 1, 2020</t>
  </si>
  <si>
    <t>It is equal to the table 10.1</t>
  </si>
  <si>
    <t>Table 11.1 : Expected undiscounted net CFs if expenses recognized immediately (i.e,. no AACF)</t>
  </si>
  <si>
    <t xml:space="preserve">Table 11.2 : Expected discounted net CFs if expenses recognized immediately (i.e., no AACF), discounted to January 1, 2020 </t>
  </si>
  <si>
    <t>Table 12.1 : Undiscounted expected net CFs including allocated acquisitions expenses before recoverability test</t>
  </si>
  <si>
    <t xml:space="preserve">Table 12.2 : Discounted expected net CFs including allocated acquisitions expenses before recoverability tests, discounted to January 1, 2020 </t>
  </si>
  <si>
    <t>Table 13.1 : Undiscounted expected net CFs excluding allocated acquisitions expenses</t>
  </si>
  <si>
    <t xml:space="preserve">Table 13.2 : Discounted expected net CFs excluding allocated acquisitions expenses, discounted to January 1, 2020 </t>
  </si>
  <si>
    <t>Table 14 : AACFs as of December 31, 2019, before identification of onerous groups and recoverability tests for the expenses other than the large initial investment</t>
  </si>
  <si>
    <t>Table 15 : AACFs as of December 31, 2019, before identification of onerous groups and recoverability tests for the large initial investment</t>
  </si>
  <si>
    <t>Table 16 : AACFs as of December 31, 2019, before identification of onerous groups and recoverability tests</t>
  </si>
  <si>
    <t xml:space="preserve">Expected net CFs after expected future acquisition expenses and allocated acquisition expenses from AACFs = </t>
  </si>
  <si>
    <t>The total from table 12.2 for the IFRS 17 Group 2020 provide the expected net CFs after expected future acquisitions expenses and allocated acquisition expenses from AACFs.</t>
  </si>
  <si>
    <t>Table 17 : AACFs as of December 31, 2019, before identification of onerous groups and recoverability tests</t>
  </si>
  <si>
    <t>Table 18 : Derecognized AACFs at December 31, 2019 because of onerous group 2020 (if applicable)</t>
  </si>
  <si>
    <t>Table 19 : AACFs as of December 31, 2019, after identification of onerous groups and before recoverability tests</t>
  </si>
  <si>
    <t>Table 20 : AACFs as of December 31, 2019, after identification of onerous groups and before recoverability tests for the expenses other than the large initial investment</t>
  </si>
  <si>
    <t>Table 21 : AACFs as of December 31, 2019, after identification of onerous groups and before recoverability tests for the large initial investment</t>
  </si>
  <si>
    <t>Table 22 : Total AACFs as of December 31, 2019, after identification of onerous groups and before recoverability tests</t>
  </si>
  <si>
    <t>Discounted net CFs excluding expenses</t>
  </si>
  <si>
    <t>Discounted net CFs excluding expenses are equal to the total per year from table 13.2 if the test need to be performed (i.e., AACFs is positive for the group)</t>
  </si>
  <si>
    <t>Discounted expenses only need to be calculated if there are AACFs to be tested. If the issue date is equal to the effective date, it is equal to the sum of the expenses from table 8.2 and 9.2 per IFRS 17 Group. If the issue date is before the effective date, it is equal to the sum of the expenses from table 8.2 and 9.2 per IFRS 17 group, but excluding the expenses from table 9.2 for the first original issue year, because those expenses are already accounted for in the AACFs.</t>
  </si>
  <si>
    <t>Table 24 : AACFs as of December 31, 2019, after identification of onerous groups and before recoverability tests</t>
  </si>
  <si>
    <t>Table 25 : Derecognized AACFs at December 31, 2019 because of first test (if applicable)</t>
  </si>
  <si>
    <t>Table 26 : AACFs as of December 31, 2019, after identification of onerous groups and after the first recoverability test</t>
  </si>
  <si>
    <t>The hypothesis here is to derecognize last the large initial investment and derecognize other expenses proportionaly</t>
  </si>
  <si>
    <t>Table 27 : Maximum amount of reduction in AACFs other than large initial investment</t>
  </si>
  <si>
    <t>Table 28 : Amount of reduction required in the large initial investment AACFs</t>
  </si>
  <si>
    <t>Table 29 : AACFs as of December 31, 2019, after identification of onerous groups and after recoverability test 1 for the expenses other than the large initial investment</t>
  </si>
  <si>
    <t>Table 30 : AACFs as of December 31, 2019, after identification of onerous groups and after recoverability test 1 for the large initial investment</t>
  </si>
  <si>
    <t>Table 31 : AACFs as of December 31, 2019, after identification of onerous groups and after recoverability test 1</t>
  </si>
  <si>
    <t>Renewals of IFRS 17 groups up to the latest AACFs directly attributed to groups are considered by original issue year.</t>
  </si>
  <si>
    <t>The hypothesis here is to derecognize proportionately to the AACFs directly attributable to groups before the second recoverability tests.</t>
  </si>
  <si>
    <t>If the test needs to be performed, discounted net CFs excluding expenses for year 2021 and for 2022 are equal to the values in table 13.2 for the first original issue year. The total is the sum of 2021 and 2022. If there is no AACF in 2022, the discounted net CFs are not included in the test.</t>
  </si>
  <si>
    <t>If the test needs to be performed, it is the proportion of expenses attributed to portfolio multiplied to applicable expenses from table 29 and adding the large initial investment (from table 30 which are attributed to portfolio). The total is the sum of 2021 and 2022.</t>
  </si>
  <si>
    <t>If the test needs to be performed and that contracts are issued before the effective date, it is the amount of expenses that will be paid on effective date for the IFRS 17 group for that original issue year. The total is the sum of 2021 and 2022.</t>
  </si>
  <si>
    <t>If the test needs to be performed, it is the proportion of expenses attributed to group multiplied by the applicable expenses from table 29.</t>
  </si>
  <si>
    <t>The total impairment is alloacted proportionally to year 2021 and year 2022 based on the amount of AACFs before the impairment.</t>
  </si>
  <si>
    <t>Table 33 : AACFs as of December 31, 2019, after identification of onerous groups and after recoverability tests</t>
  </si>
  <si>
    <t>for the expenses other than the large initial investment</t>
  </si>
  <si>
    <t>The AACFs in 2021 and 2022 from table 29 need to be reduced by the impactment calculated in table 32.</t>
  </si>
  <si>
    <t>Table 34 : AACFs as of December 31, 2019, after identification of onerous groups and after recoverability tests</t>
  </si>
  <si>
    <t>for the large initial investment</t>
  </si>
  <si>
    <t>Table 35 : Total AACFs as of December 31, 2019, after identification of onerous groups and after recoverability tests</t>
  </si>
  <si>
    <t>There are no additional expenses for renewals.</t>
  </si>
  <si>
    <t>This amount is distributed proportionally to expected undiscounted premium as of December 31, 2019 for the first five years.</t>
  </si>
  <si>
    <t>This respects the standard, since no policies issued more than one year apart are combined in the same group.</t>
  </si>
  <si>
    <t>Financial statements are produced yearly.</t>
  </si>
  <si>
    <t>Limitations are added to avoid having to reverse any derecognitions of AACFs because of the recoverability tests.</t>
  </si>
  <si>
    <t>Table 36 : New business and renewals per year</t>
  </si>
  <si>
    <t>Table 37.1 : Expected undiscounted premium</t>
  </si>
  <si>
    <t>Table 37.2 : Expected discounted premium at January 1, 2021</t>
  </si>
  <si>
    <t>Table 38.1 : Expected undiscounted losses</t>
  </si>
  <si>
    <t>Table 38.2 : Expected discounted losses at January 1, 2021</t>
  </si>
  <si>
    <r>
      <t xml:space="preserve">Table 39.1 : Expected undiscounted expenses paid at </t>
    </r>
    <r>
      <rPr>
        <b/>
        <u/>
        <sz val="11"/>
        <rFont val="Calibri"/>
        <family val="2"/>
        <scheme val="minor"/>
      </rPr>
      <t>effective date</t>
    </r>
    <r>
      <rPr>
        <b/>
        <sz val="11"/>
        <rFont val="Calibri"/>
        <family val="2"/>
        <scheme val="minor"/>
      </rPr>
      <t xml:space="preserve"> if expenses recognized immediately</t>
    </r>
  </si>
  <si>
    <r>
      <t xml:space="preserve">Table 39.2 : Expected discounted expenses paid at </t>
    </r>
    <r>
      <rPr>
        <b/>
        <u/>
        <sz val="11"/>
        <rFont val="Calibri"/>
        <family val="2"/>
        <scheme val="minor"/>
      </rPr>
      <t>effective date</t>
    </r>
    <r>
      <rPr>
        <b/>
        <sz val="11"/>
        <rFont val="Calibri"/>
        <family val="2"/>
        <scheme val="minor"/>
      </rPr>
      <t xml:space="preserve"> if expenses recognized immediately, discounted to January 1, 2021</t>
    </r>
  </si>
  <si>
    <r>
      <t xml:space="preserve">Table 40.1 : Expected undiscounted expenses paid at </t>
    </r>
    <r>
      <rPr>
        <b/>
        <u/>
        <sz val="11"/>
        <rFont val="Calibri"/>
        <family val="2"/>
        <scheme val="minor"/>
      </rPr>
      <t>issue date</t>
    </r>
    <r>
      <rPr>
        <b/>
        <sz val="11"/>
        <rFont val="Calibri"/>
        <family val="2"/>
        <scheme val="minor"/>
      </rPr>
      <t xml:space="preserve"> if expenses recognized immediately</t>
    </r>
  </si>
  <si>
    <r>
      <t xml:space="preserve">Table 40.2 : Expected discounted expenses paid at </t>
    </r>
    <r>
      <rPr>
        <b/>
        <u/>
        <sz val="11"/>
        <rFont val="Calibri"/>
        <family val="2"/>
        <scheme val="minor"/>
      </rPr>
      <t>issue date</t>
    </r>
    <r>
      <rPr>
        <b/>
        <sz val="11"/>
        <rFont val="Calibri"/>
        <family val="2"/>
        <scheme val="minor"/>
      </rPr>
      <t xml:space="preserve"> if expenses recognized immediately, discounted to January 1, 2021</t>
    </r>
  </si>
  <si>
    <t>Expenses are equal to the amount of expenses in the first original issue year of a cohort of contracts multiplied by the proportion paid at the issue date (assumption # 6).</t>
  </si>
  <si>
    <t>Table 41.1 : Expected undiscounted expenses paid for large initial investment if expenses recognized immediately</t>
  </si>
  <si>
    <t>Table 41.2 : Expected discounted expenses paid for large initial investment if expenses recognized immediately, discounted to January 1, 2021</t>
  </si>
  <si>
    <t>Table 42.1 : Total expected undiscounted expenses if expenses recognized immediately</t>
  </si>
  <si>
    <t>Table 42.2 : Total expected discounted expenses if expenses recognized immediately, discounted to January 1, 2021</t>
  </si>
  <si>
    <r>
      <t>Table 43.1 : Undiscounted acquisition expenses paid at e</t>
    </r>
    <r>
      <rPr>
        <b/>
        <u/>
        <sz val="11"/>
        <rFont val="Calibri"/>
        <family val="2"/>
        <scheme val="minor"/>
      </rPr>
      <t>ffective date</t>
    </r>
    <r>
      <rPr>
        <b/>
        <sz val="11"/>
        <rFont val="Calibri"/>
        <family val="2"/>
        <scheme val="minor"/>
      </rPr>
      <t xml:space="preserve"> allocated to each group, excluding large initial investment</t>
    </r>
  </si>
  <si>
    <r>
      <t>Table 43.2 : Discounted acquisition expenses paid at e</t>
    </r>
    <r>
      <rPr>
        <b/>
        <u/>
        <sz val="11"/>
        <rFont val="Calibri"/>
        <family val="2"/>
        <scheme val="minor"/>
      </rPr>
      <t>ffective date</t>
    </r>
    <r>
      <rPr>
        <b/>
        <sz val="11"/>
        <rFont val="Calibri"/>
        <family val="2"/>
        <scheme val="minor"/>
      </rPr>
      <t xml:space="preserve"> allocated to each group, excluding large initial investment,  discounted to January 1, 2021</t>
    </r>
  </si>
  <si>
    <r>
      <t>Table 44.1 : Undiscounted acquisition expenses paid at i</t>
    </r>
    <r>
      <rPr>
        <b/>
        <u/>
        <sz val="11"/>
        <rFont val="Calibri"/>
        <family val="2"/>
        <scheme val="minor"/>
      </rPr>
      <t>ssue date</t>
    </r>
    <r>
      <rPr>
        <b/>
        <sz val="11"/>
        <rFont val="Calibri"/>
        <family val="2"/>
        <scheme val="minor"/>
      </rPr>
      <t xml:space="preserve"> allocated to each group, excluding large initial investment</t>
    </r>
  </si>
  <si>
    <r>
      <t>Table 44.2 : Discounted acquisition expenses paid at i</t>
    </r>
    <r>
      <rPr>
        <b/>
        <u/>
        <sz val="11"/>
        <rFont val="Calibri"/>
        <family val="2"/>
        <scheme val="minor"/>
      </rPr>
      <t>ssue date</t>
    </r>
    <r>
      <rPr>
        <b/>
        <sz val="11"/>
        <rFont val="Calibri"/>
        <family val="2"/>
        <scheme val="minor"/>
      </rPr>
      <t xml:space="preserve"> allocated to each group, excluding large initial investment, discounted to January 1, 2021</t>
    </r>
  </si>
  <si>
    <t>Table 45.1 : Undiscounted acquisition expenses for large initial investment allocated to each group</t>
  </si>
  <si>
    <t>Table 45.2 : Discounted acquisition expenses for large initial investment allocated to each group, discounted to January 1, 2021</t>
  </si>
  <si>
    <t>Net cash flows</t>
  </si>
  <si>
    <t>Table 46.1 : Undiscounted expected net CFs excluding allocated acquisitions expenses</t>
  </si>
  <si>
    <t>Table 46.2 : Discounted expected net CFs excluding allocated acquisitions expenses, discounted to January 1, 2021</t>
  </si>
  <si>
    <t>Table 47 : AACFs as of December 31, 2019 for the expenses other than the large initial investment</t>
  </si>
  <si>
    <t>For year 2020, if the AACF was higher than zero at the end of last year, the amount from table 47 was derecognized and accounted for in the IFSR 17 group 2020.</t>
  </si>
  <si>
    <t>Table 48 : AACFs derecognized in 2020 for the expenses other than the large initial investment</t>
  </si>
  <si>
    <t>Table 49 : AACFs recognized in 2020 for the expenses other than the large initial investment</t>
  </si>
  <si>
    <t>For the first original issue year, if the issue date is the same as the effective date, we have to recognize the expenses paid from tables 43.1 and 44.1. If the issue date was before the effective date, expenses paid  from table 44.1 were already recognized in AACFs, so there is only the need to consider the table 43.1.</t>
  </si>
  <si>
    <t>Table 50 : AACFs as of December 31, 2020, before identification of onerous groups and recoverability tests for the expenses other than the large initial investment</t>
  </si>
  <si>
    <t>Table 51 : AACFs as of December 31, 2019 for the large initial investment</t>
  </si>
  <si>
    <t>Table 52 : AACFs derecognized in 2020 for the large initial investment</t>
  </si>
  <si>
    <t>For year 2020, if the AACF was higher than zero at the end of last year, the amount from table 51 was derecognized and accounted for in the IFSR 17 group 2020.</t>
  </si>
  <si>
    <t>Table 53 : AACFs recognized in 2020 for the large initial investment</t>
  </si>
  <si>
    <t>Table 54 : AACFs as of December 31, 2020, before identification of onerous groups and recoverability tests for the large initial investment</t>
  </si>
  <si>
    <t>Table 55 : Total AACFs as of December 31, 2020, before identification of onerous groups and recoverability tests</t>
  </si>
  <si>
    <t>Table 56 : AACFs as of December 31, 2020, before identification of onerous groups and recoverability tests</t>
  </si>
  <si>
    <t>Table 57 : Derecognized AACFs at December 31, 2020 because of onerous group 2020 (if applicable)</t>
  </si>
  <si>
    <t>Table 58 : AACFs as of December 31, 2020, after identification of onerous groups and before recoverability tests</t>
  </si>
  <si>
    <t>Table 59 : AACFs as of December 31, 2020, after identification of onerous groups and before recoverability tests for the expenses other than the large initial investment</t>
  </si>
  <si>
    <t>Table 60 : AACFs as of December 31, 2020, after identification of onerous groups and before recoverability tests for the large initial investment</t>
  </si>
  <si>
    <t>Table 61 : Total AACFs as of December 31, 2020, after identification of onerous groups and before recoverability tests</t>
  </si>
  <si>
    <t>Discounted net CFs excluding expenses are equal to the total per year from table 46.2 if the test need to be performed (i.e., AACFs is positive for the group)</t>
  </si>
  <si>
    <t>Discounted expenses only need to be calculated if there are AACFs to be tested. If the issue date is equal to the effective date, it is equal to the sum of the expenses from table 43.2 and 44.2 per IFRS 17 Group except for the first original issue year (which is already in AACFs). If the issue date is before the effective date, it is equal to the sum of the expenses from table 43.2 and 44.2 per IFRS 17 group, but excluding the expenses from table 44.2 for the first two original issue years, because those expenses are already accounted for in the AACFs.</t>
  </si>
  <si>
    <t>Table 63 : AACFs as of December 31, 2020, after identification of onerous groups and before recoverability tests</t>
  </si>
  <si>
    <t>Table 64 : Derecognized AACFs at December 31, 2020 because of first test (if applicable)</t>
  </si>
  <si>
    <t>Table 65 : AACFs as of December 31, 2020, after identification of onerous groups and after the first recoverability test</t>
  </si>
  <si>
    <t>The hyposesis here is to derecognize last the large initial large investment and derecognize other expenses proportionally</t>
  </si>
  <si>
    <t>Table 66 : Maximum amount of reduction in AACFs other than large initial investment</t>
  </si>
  <si>
    <t>Table 67 : Amount of reduction required in the large initial investment AACFs</t>
  </si>
  <si>
    <t>Table 68 : AACFs as of December 31, 2020, after identification of onerous groups and after recoverability test 1 for the expenses other than the large initial investment</t>
  </si>
  <si>
    <t>Finally, if there is a partial reduction (from table 66 is higher than table 64) in the AACFs for expenses other than for the large initial investment, that partial reduction is applied proportionally to the amounts that are in table 59.</t>
  </si>
  <si>
    <t>Table 69 : AACFs as of December 31, 2020, after identification of onerous groups and after recoverability test 1 for the large initial investment</t>
  </si>
  <si>
    <t>If there is a reduction in AACFs for large investment as per table 67 in a given IFRS 17 year, the reduction per oririginal issue is made proportionally to the AACFs before the reduction (table 60).</t>
  </si>
  <si>
    <t>Table 70 : AACFs as of December 31, 2020, after identification of onerous groups and after recoverability test 1</t>
  </si>
  <si>
    <t>There are two original issue years to test at December 31, 2020, contracts effective in 2021 are issued in 2020. Otherwise, there is only one original issue year.</t>
  </si>
  <si>
    <t>The hypothesis here is to derecognize proportionally to the AACFs directly attributable to groups before the second recoverability tests.</t>
  </si>
  <si>
    <t>If the test needs to be performed, discounted net CFs excluding expenses for year 2021 and for 2022 are equal to the values in table 46.2 for the first original issue year. The total is the sum of 2021 and 2022. If there is no AACF in 2022, the discounted net CFs are not included in the test.</t>
  </si>
  <si>
    <t>If the test needs to be performed, it is the proportion of expenses attributed to portfolio multiplied to applicable expenses from table 68 and adding the large initial investment (table 69 which are attributed to portfolio). The total is the sum of 2021 and 2022. If there is no AACF in 2022, the discounted net CFs are not included in the test.</t>
  </si>
  <si>
    <t>If the test needs to be performed, it is the proportion of expenses attributed to group multiplied by the applicable expenses from table 68.</t>
  </si>
  <si>
    <t>If the test needs to be performed, discounted net CFs excluding expenses for year 2022 and for 2023 are equal to the values in table 46.2 for the second original issue year. The total is the sum of 2022 and 2023. If there is no AACF in 2023, the discounted net CFs are not included in the test.</t>
  </si>
  <si>
    <t>If the test needs to be performed, it is the proportion of expenses attributed to portfolio multiplied to applicable expenses from table 68 and adding the large initial investment (table 69 which are attributed to portfolio). The total is the sum of 2022 and 2023. If there is no AACF in 2023, the discounted net CFs are not included in the test.</t>
  </si>
  <si>
    <t>If the test needs to be performed and that contracts are issued before the effective date, it is the amount of expenses that will be paid on effective date for the IFRS 17 group for that original issue year. The total is the sum of 2022 and 2023.</t>
  </si>
  <si>
    <t>The total impairment is alloacted proportionally to year 2022 and year 2023 based on the amount of AACFs before the impairment.</t>
  </si>
  <si>
    <t>Table 73 : AACFs as of December 31, 2020, after identification of onerous groups and after recoverability tests for the expenses other than the large initial investment</t>
  </si>
  <si>
    <t>The AACFs in 2021, 2022, and 2023 from table 68 need to be reduced by the impactment calculated in table 71 or table 72 depending of the original issue year.</t>
  </si>
  <si>
    <t>Table 74 : AACFs as of December 31, 2020, after identification of onerous groups and after recoverability tests for the large initial investment</t>
  </si>
  <si>
    <t>Table 75 : Total AACFs as of December 31, 2020, after identification of onerous groups and after recoverability tests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</si>
</sst>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quot;$&quot;_ ;_ * \(#,##0.00\)\ &quot;$&quot;_ ;_ * &quot;-&quot;??_)\ &quot;$&quot;_ ;_ @_ "/>
    <numFmt numFmtId="165" formatCode="0.0"/>
    <numFmt numFmtId="166" formatCode="0.0_);\(0.0\)"/>
    <numFmt numFmtId="167" formatCode="_ * #,##0_)\ &quot;$&quot;_ ;_ * \(#,##0\)\ &quot;$&quot;_ ;_ * &quot;-&quot;??_)\ &quot;$&quot;_ ;_ @_ "/>
    <numFmt numFmtId="168" formatCode="0.0%"/>
    <numFmt numFmtId="169" formatCode="0.00_);\(0.00\)"/>
    <numFmt numFmtId="170" formatCode="_ * #,##0.0_)\ &quot;$&quot;_ ;_ * \(#,##0.0\)\ &quot;$&quot;_ ;_ * &quot;-&quot;??_)\ &quot;$&quot;_ ;_ @_ "/>
  </numFmts>
  <fonts count="1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sz val="11"/>
      <color rgb="FF0070C0"/>
      <name val="Calibri"/>
      <family val="2"/>
      <scheme val="minor"/>
    </font>
    <font>
      <u/>
      <sz val="11"/>
      <color theme="1"/>
      <name val="Calibri"/>
      <family val="2"/>
      <scheme val="minor"/>
    </font>
    <font>
      <i/>
      <sz val="11"/>
      <name val="Calibri"/>
      <family val="2"/>
      <scheme val="minor"/>
    </font>
    <font>
      <b/>
      <sz val="11"/>
      <color rgb="FFFF0000"/>
      <name val="Calibri"/>
      <family val="2"/>
      <scheme val="minor"/>
    </font>
    <font>
      <sz val="8"/>
      <name val="Calibri"/>
      <family val="2"/>
      <scheme val="minor"/>
    </font>
    <font>
      <sz val="9"/>
      <color indexed="81"/>
      <name val="Tahoma"/>
      <family val="2"/>
    </font>
    <font>
      <sz val="11"/>
      <color rgb="FF0033CC"/>
      <name val="Calibri"/>
      <family val="2"/>
      <scheme val="minor"/>
    </font>
    <font>
      <sz val="11"/>
      <color rgb="FF0000FF"/>
      <name val="Calibri"/>
      <family val="2"/>
      <scheme val="minor"/>
    </font>
    <font>
      <b/>
      <u/>
      <sz val="1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39">
    <xf numFmtId="0" fontId="0" fillId="0" borderId="0" xfId="0"/>
    <xf numFmtId="0" fontId="3" fillId="0" borderId="0" xfId="0" applyFont="1"/>
    <xf numFmtId="0" fontId="4" fillId="0" borderId="0" xfId="0" applyFont="1"/>
    <xf numFmtId="0" fontId="5" fillId="0" borderId="0" xfId="0" applyFont="1"/>
    <xf numFmtId="0" fontId="4" fillId="2" borderId="0" xfId="0" applyFont="1" applyFill="1" applyAlignment="1">
      <alignment horizontal="center"/>
    </xf>
    <xf numFmtId="0" fontId="4" fillId="3" borderId="0" xfId="0" applyFont="1" applyFill="1" applyAlignment="1">
      <alignment horizontal="center"/>
    </xf>
    <xf numFmtId="0" fontId="4" fillId="0" borderId="0" xfId="0" applyFont="1" applyAlignment="1">
      <alignment horizontal="center"/>
    </xf>
    <xf numFmtId="165" fontId="4" fillId="0" borderId="0" xfId="0" applyNumberFormat="1" applyFont="1" applyAlignment="1">
      <alignment horizontal="center"/>
    </xf>
    <xf numFmtId="165" fontId="4" fillId="3" borderId="1" xfId="0" applyNumberFormat="1" applyFont="1" applyFill="1" applyBorder="1" applyAlignment="1">
      <alignment horizontal="center"/>
    </xf>
    <xf numFmtId="0" fontId="4" fillId="0" borderId="0" xfId="0" quotePrefix="1" applyFont="1" applyAlignment="1">
      <alignment horizontal="left"/>
    </xf>
    <xf numFmtId="166" fontId="4" fillId="0" borderId="0" xfId="0" applyNumberFormat="1" applyFont="1" applyAlignment="1">
      <alignment horizontal="center"/>
    </xf>
    <xf numFmtId="166" fontId="4" fillId="3" borderId="1" xfId="0" applyNumberFormat="1" applyFont="1" applyFill="1" applyBorder="1" applyAlignment="1">
      <alignment horizontal="center"/>
    </xf>
    <xf numFmtId="166" fontId="4" fillId="4" borderId="0" xfId="0" applyNumberFormat="1" applyFont="1" applyFill="1" applyAlignment="1">
      <alignment horizontal="center"/>
    </xf>
    <xf numFmtId="0" fontId="4" fillId="3" borderId="2" xfId="0" applyFont="1" applyFill="1" applyBorder="1" applyAlignment="1">
      <alignment horizontal="center"/>
    </xf>
    <xf numFmtId="0" fontId="0" fillId="0" borderId="0" xfId="0" applyAlignment="1">
      <alignment horizontal="right"/>
    </xf>
    <xf numFmtId="0" fontId="0" fillId="0" borderId="0" xfId="0" applyAlignment="1">
      <alignment horizontal="left"/>
    </xf>
    <xf numFmtId="9" fontId="0" fillId="0" borderId="0" xfId="0" applyNumberFormat="1"/>
    <xf numFmtId="0" fontId="0" fillId="0" borderId="0" xfId="0" applyAlignment="1">
      <alignment horizontal="center"/>
    </xf>
    <xf numFmtId="165" fontId="4" fillId="0" borderId="0" xfId="0" applyNumberFormat="1" applyFont="1"/>
    <xf numFmtId="0" fontId="5" fillId="0" borderId="0" xfId="0" applyFont="1" applyAlignment="1">
      <alignment horizontal="left"/>
    </xf>
    <xf numFmtId="16" fontId="4" fillId="3" borderId="0" xfId="0" quotePrefix="1" applyNumberFormat="1" applyFont="1" applyFill="1" applyAlignment="1">
      <alignment horizontal="center"/>
    </xf>
    <xf numFmtId="165" fontId="4" fillId="3" borderId="2"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165" fontId="4" fillId="0" borderId="0" xfId="0" applyNumberFormat="1" applyFont="1" applyAlignment="1">
      <alignment horizontal="left"/>
    </xf>
    <xf numFmtId="165" fontId="0" fillId="0" borderId="0" xfId="0" applyNumberFormat="1" applyAlignment="1">
      <alignment horizontal="center"/>
    </xf>
    <xf numFmtId="165" fontId="3" fillId="0" borderId="2" xfId="0" applyNumberFormat="1" applyFont="1" applyBorder="1" applyAlignment="1">
      <alignment horizontal="center"/>
    </xf>
    <xf numFmtId="165" fontId="3" fillId="0" borderId="4" xfId="0" applyNumberFormat="1" applyFont="1" applyBorder="1" applyAlignment="1">
      <alignment horizontal="center"/>
    </xf>
    <xf numFmtId="0" fontId="0" fillId="0" borderId="4" xfId="0" applyBorder="1"/>
    <xf numFmtId="2" fontId="0" fillId="0" borderId="0" xfId="0" applyNumberFormat="1"/>
    <xf numFmtId="165" fontId="0" fillId="0" borderId="0" xfId="0" applyNumberFormat="1"/>
    <xf numFmtId="165" fontId="0" fillId="0" borderId="4" xfId="0" applyNumberFormat="1" applyBorder="1" applyAlignment="1">
      <alignment horizontal="center"/>
    </xf>
    <xf numFmtId="0" fontId="0" fillId="0" borderId="4" xfId="0" applyBorder="1" applyAlignment="1">
      <alignment horizontal="center"/>
    </xf>
    <xf numFmtId="166" fontId="0" fillId="0" borderId="4" xfId="0" applyNumberFormat="1" applyBorder="1" applyAlignment="1">
      <alignment horizontal="center"/>
    </xf>
    <xf numFmtId="0" fontId="7" fillId="0" borderId="0" xfId="0" applyFont="1"/>
    <xf numFmtId="0" fontId="0" fillId="0" borderId="0" xfId="0" applyFill="1" applyBorder="1" applyAlignment="1">
      <alignment horizontal="left"/>
    </xf>
    <xf numFmtId="0" fontId="0" fillId="0" borderId="2" xfId="0" applyBorder="1" applyAlignment="1">
      <alignment horizontal="center"/>
    </xf>
    <xf numFmtId="167" fontId="4" fillId="0" borderId="0" xfId="1" applyNumberFormat="1" applyFont="1" applyFill="1" applyAlignment="1">
      <alignment horizontal="left"/>
    </xf>
    <xf numFmtId="0" fontId="4" fillId="0" borderId="0" xfId="0" applyFont="1" applyFill="1"/>
    <xf numFmtId="9" fontId="4" fillId="0" borderId="0" xfId="0" applyNumberFormat="1" applyFont="1" applyFill="1"/>
    <xf numFmtId="10" fontId="4" fillId="0" borderId="0" xfId="2" applyNumberFormat="1" applyFont="1" applyFill="1" applyAlignment="1">
      <alignment horizontal="center"/>
    </xf>
    <xf numFmtId="0" fontId="2" fillId="0" borderId="0" xfId="0" applyFont="1"/>
    <xf numFmtId="165" fontId="8" fillId="6" borderId="0" xfId="0" applyNumberFormat="1" applyFont="1" applyFill="1" applyAlignment="1">
      <alignment horizontal="center"/>
    </xf>
    <xf numFmtId="0" fontId="0" fillId="0" borderId="0" xfId="0" quotePrefix="1"/>
    <xf numFmtId="0" fontId="0" fillId="0" borderId="0" xfId="0" quotePrefix="1" applyAlignment="1">
      <alignment horizontal="center"/>
    </xf>
    <xf numFmtId="0" fontId="9" fillId="0" borderId="0" xfId="0" applyFont="1"/>
    <xf numFmtId="0" fontId="0" fillId="0" borderId="0" xfId="0" applyBorder="1" applyAlignment="1">
      <alignment horizontal="center"/>
    </xf>
    <xf numFmtId="166" fontId="0" fillId="0" borderId="0" xfId="0" applyNumberFormat="1" applyBorder="1" applyAlignment="1">
      <alignment horizontal="center"/>
    </xf>
    <xf numFmtId="0" fontId="6" fillId="5" borderId="3" xfId="0" applyFont="1" applyFill="1" applyBorder="1" applyAlignment="1">
      <alignment horizontal="center"/>
    </xf>
    <xf numFmtId="0" fontId="3" fillId="0" borderId="3" xfId="0" applyFont="1" applyBorder="1" applyAlignment="1">
      <alignment horizontal="center"/>
    </xf>
    <xf numFmtId="9" fontId="0" fillId="0" borderId="3" xfId="0" applyNumberFormat="1" applyBorder="1" applyAlignment="1">
      <alignment horizontal="center"/>
    </xf>
    <xf numFmtId="9" fontId="0" fillId="0" borderId="3" xfId="2" applyFont="1" applyBorder="1" applyAlignment="1">
      <alignment horizontal="center"/>
    </xf>
    <xf numFmtId="168" fontId="0" fillId="0" borderId="3" xfId="2" applyNumberFormat="1" applyFont="1" applyBorder="1" applyAlignment="1">
      <alignment horizontal="center"/>
    </xf>
    <xf numFmtId="10" fontId="0" fillId="0" borderId="3" xfId="2" applyNumberFormat="1" applyFont="1" applyBorder="1" applyAlignment="1">
      <alignment horizontal="center"/>
    </xf>
    <xf numFmtId="168" fontId="0" fillId="0" borderId="3" xfId="0" applyNumberFormat="1" applyBorder="1" applyAlignment="1">
      <alignment horizontal="center"/>
    </xf>
    <xf numFmtId="0" fontId="0" fillId="0" borderId="3" xfId="2" applyNumberFormat="1" applyFont="1" applyBorder="1" applyAlignment="1">
      <alignment horizontal="center"/>
    </xf>
    <xf numFmtId="0" fontId="0" fillId="0" borderId="0" xfId="0" applyNumberFormat="1"/>
    <xf numFmtId="0" fontId="0" fillId="0" borderId="3" xfId="0" applyNumberFormat="1" applyBorder="1" applyAlignment="1">
      <alignment horizontal="center"/>
    </xf>
    <xf numFmtId="168" fontId="0" fillId="0" borderId="0" xfId="0" applyNumberFormat="1"/>
    <xf numFmtId="0" fontId="4" fillId="0" borderId="0" xfId="0" applyFont="1" applyFill="1" applyAlignment="1">
      <alignment horizontal="left"/>
    </xf>
    <xf numFmtId="0" fontId="4" fillId="0" borderId="0" xfId="0" applyNumberFormat="1" applyFont="1" applyFill="1"/>
    <xf numFmtId="0" fontId="0" fillId="0" borderId="5" xfId="0" applyBorder="1"/>
    <xf numFmtId="0" fontId="4" fillId="0" borderId="5" xfId="0" applyFont="1" applyBorder="1"/>
    <xf numFmtId="0" fontId="0" fillId="0" borderId="6" xfId="0" applyBorder="1"/>
    <xf numFmtId="0" fontId="4" fillId="0" borderId="4" xfId="0" applyFont="1" applyBorder="1"/>
    <xf numFmtId="0" fontId="4" fillId="0" borderId="4" xfId="0" applyFont="1" applyBorder="1" applyAlignment="1">
      <alignment horizontal="center"/>
    </xf>
    <xf numFmtId="0" fontId="4" fillId="0" borderId="6" xfId="0" applyFont="1" applyBorder="1"/>
    <xf numFmtId="165" fontId="4" fillId="0" borderId="4" xfId="0" applyNumberFormat="1" applyFont="1" applyBorder="1" applyAlignment="1">
      <alignment horizontal="center"/>
    </xf>
    <xf numFmtId="165" fontId="4" fillId="0" borderId="4" xfId="0" applyNumberFormat="1" applyFont="1" applyBorder="1"/>
    <xf numFmtId="0" fontId="4" fillId="0" borderId="4" xfId="0" quotePrefix="1" applyFont="1" applyBorder="1" applyAlignment="1">
      <alignment horizontal="left"/>
    </xf>
    <xf numFmtId="166" fontId="4" fillId="0" borderId="4" xfId="0" applyNumberFormat="1" applyFont="1" applyBorder="1" applyAlignment="1">
      <alignment horizontal="center"/>
    </xf>
    <xf numFmtId="0" fontId="5" fillId="0" borderId="0" xfId="0" applyFont="1" applyAlignment="1">
      <alignment horizontal="left" vertical="center"/>
    </xf>
    <xf numFmtId="0" fontId="4" fillId="0" borderId="0" xfId="0" applyFont="1" applyAlignment="1">
      <alignment vertical="center"/>
    </xf>
    <xf numFmtId="165" fontId="4" fillId="0" borderId="0" xfId="0" applyNumberFormat="1" applyFont="1" applyAlignment="1">
      <alignment horizontal="center" vertical="center"/>
    </xf>
    <xf numFmtId="166" fontId="4" fillId="0" borderId="0" xfId="0" applyNumberFormat="1" applyFont="1" applyAlignment="1">
      <alignment horizontal="center" vertical="center"/>
    </xf>
    <xf numFmtId="0" fontId="0" fillId="0" borderId="0" xfId="0" applyAlignment="1">
      <alignment vertical="center"/>
    </xf>
    <xf numFmtId="0" fontId="0" fillId="0" borderId="5" xfId="0" applyBorder="1" applyAlignment="1">
      <alignment vertical="center"/>
    </xf>
    <xf numFmtId="0" fontId="4" fillId="0" borderId="5" xfId="0" applyFont="1" applyBorder="1" applyAlignment="1">
      <alignment vertical="center"/>
    </xf>
    <xf numFmtId="0" fontId="5" fillId="0" borderId="7" xfId="0" applyFont="1" applyBorder="1"/>
    <xf numFmtId="0" fontId="0" fillId="0" borderId="1" xfId="0" applyBorder="1"/>
    <xf numFmtId="0" fontId="0" fillId="0" borderId="5" xfId="0" applyBorder="1" applyAlignment="1">
      <alignment horizontal="center"/>
    </xf>
    <xf numFmtId="0" fontId="0" fillId="3" borderId="0" xfId="0" applyFill="1" applyBorder="1" applyAlignment="1">
      <alignment horizontal="center"/>
    </xf>
    <xf numFmtId="0" fontId="0" fillId="3" borderId="9" xfId="0" applyFill="1" applyBorder="1" applyAlignment="1">
      <alignment horizontal="center"/>
    </xf>
    <xf numFmtId="0" fontId="0" fillId="0" borderId="5" xfId="0" applyBorder="1" applyAlignment="1">
      <alignment horizontal="left"/>
    </xf>
    <xf numFmtId="165" fontId="3" fillId="0" borderId="0" xfId="0" applyNumberFormat="1" applyFont="1" applyBorder="1" applyAlignment="1">
      <alignment horizontal="center"/>
    </xf>
    <xf numFmtId="165" fontId="0" fillId="0" borderId="0" xfId="0" applyNumberFormat="1" applyBorder="1" applyAlignment="1">
      <alignment horizontal="center"/>
    </xf>
    <xf numFmtId="165" fontId="0" fillId="0" borderId="9" xfId="0" applyNumberFormat="1" applyBorder="1" applyAlignment="1">
      <alignment horizontal="center"/>
    </xf>
    <xf numFmtId="0" fontId="0" fillId="0" borderId="6" xfId="0" applyBorder="1" applyAlignment="1">
      <alignment horizontal="left"/>
    </xf>
    <xf numFmtId="165" fontId="0" fillId="0" borderId="10" xfId="0" applyNumberFormat="1" applyBorder="1" applyAlignment="1">
      <alignment horizontal="center"/>
    </xf>
    <xf numFmtId="0" fontId="0" fillId="0" borderId="0" xfId="0" applyBorder="1"/>
    <xf numFmtId="0" fontId="0" fillId="0" borderId="9" xfId="0" applyBorder="1"/>
    <xf numFmtId="166" fontId="0" fillId="0" borderId="10" xfId="0" applyNumberFormat="1" applyBorder="1" applyAlignment="1">
      <alignment horizontal="center"/>
    </xf>
    <xf numFmtId="0" fontId="0" fillId="0" borderId="11" xfId="0" applyBorder="1" applyAlignment="1">
      <alignment horizontal="left"/>
    </xf>
    <xf numFmtId="0" fontId="0" fillId="0" borderId="9" xfId="0" applyBorder="1" applyAlignment="1">
      <alignment horizontal="center"/>
    </xf>
    <xf numFmtId="0" fontId="0" fillId="0" borderId="10" xfId="0" applyBorder="1" applyAlignment="1">
      <alignment horizontal="center"/>
    </xf>
    <xf numFmtId="0" fontId="0" fillId="0" borderId="6" xfId="0" applyFill="1" applyBorder="1" applyAlignment="1">
      <alignment horizontal="left"/>
    </xf>
    <xf numFmtId="0" fontId="3" fillId="0" borderId="7" xfId="0" applyFont="1" applyBorder="1"/>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164" fontId="0" fillId="0" borderId="3" xfId="1" applyNumberFormat="1" applyFont="1" applyBorder="1" applyAlignment="1">
      <alignment horizontal="center"/>
    </xf>
    <xf numFmtId="169" fontId="0" fillId="0" borderId="4" xfId="0" applyNumberFormat="1" applyBorder="1" applyAlignment="1">
      <alignment horizontal="center"/>
    </xf>
    <xf numFmtId="169" fontId="0" fillId="0" borderId="2" xfId="0" applyNumberFormat="1" applyBorder="1" applyAlignment="1">
      <alignment horizontal="center"/>
    </xf>
    <xf numFmtId="169" fontId="0" fillId="0" borderId="12" xfId="0" applyNumberFormat="1" applyBorder="1" applyAlignment="1">
      <alignment horizontal="center"/>
    </xf>
    <xf numFmtId="166" fontId="0" fillId="0" borderId="2" xfId="0" applyNumberFormat="1" applyBorder="1" applyAlignment="1">
      <alignment horizontal="center"/>
    </xf>
    <xf numFmtId="165" fontId="0" fillId="0" borderId="3" xfId="0" applyNumberFormat="1" applyBorder="1" applyAlignment="1">
      <alignment horizontal="center"/>
    </xf>
    <xf numFmtId="0" fontId="0" fillId="0" borderId="0" xfId="0" applyAlignment="1">
      <alignment horizontal="center" vertical="center"/>
    </xf>
    <xf numFmtId="0" fontId="0" fillId="0" borderId="7" xfId="0" applyBorder="1"/>
    <xf numFmtId="169" fontId="0" fillId="0" borderId="10" xfId="0" applyNumberFormat="1" applyBorder="1" applyAlignment="1">
      <alignment horizontal="center"/>
    </xf>
    <xf numFmtId="0" fontId="3" fillId="0" borderId="0" xfId="0" applyFont="1" applyFill="1" applyBorder="1" applyAlignment="1">
      <alignment horizontal="left"/>
    </xf>
    <xf numFmtId="166" fontId="4" fillId="0" borderId="0" xfId="0" applyNumberFormat="1" applyFont="1"/>
    <xf numFmtId="166" fontId="4" fillId="3" borderId="2" xfId="0" applyNumberFormat="1" applyFont="1" applyFill="1" applyBorder="1" applyAlignment="1">
      <alignment horizontal="center"/>
    </xf>
    <xf numFmtId="170" fontId="0" fillId="0" borderId="3" xfId="1" applyNumberFormat="1" applyFont="1" applyBorder="1" applyAlignment="1">
      <alignment horizontal="center"/>
    </xf>
    <xf numFmtId="167" fontId="12" fillId="0" borderId="0" xfId="1" applyNumberFormat="1" applyFont="1" applyFill="1" applyAlignment="1">
      <alignment horizontal="left"/>
    </xf>
    <xf numFmtId="9" fontId="12" fillId="0" borderId="0" xfId="0" applyNumberFormat="1" applyFont="1" applyFill="1"/>
    <xf numFmtId="0" fontId="12" fillId="0" borderId="0" xfId="0" applyFont="1" applyFill="1"/>
    <xf numFmtId="167" fontId="13" fillId="0" borderId="0" xfId="1" applyNumberFormat="1" applyFont="1" applyFill="1" applyAlignment="1">
      <alignment horizontal="left"/>
    </xf>
    <xf numFmtId="9" fontId="13" fillId="0" borderId="0" xfId="0" applyNumberFormat="1" applyFont="1" applyFill="1"/>
    <xf numFmtId="167" fontId="13" fillId="0" borderId="0" xfId="1" applyNumberFormat="1" applyFont="1" applyFill="1"/>
    <xf numFmtId="0" fontId="13" fillId="0" borderId="0" xfId="0" applyFont="1"/>
    <xf numFmtId="10" fontId="13" fillId="0" borderId="0" xfId="2" applyNumberFormat="1" applyFont="1" applyFill="1" applyAlignment="1">
      <alignment horizontal="center"/>
    </xf>
    <xf numFmtId="10" fontId="0" fillId="0" borderId="3" xfId="2" applyNumberFormat="1" applyFont="1" applyFill="1" applyBorder="1" applyAlignment="1">
      <alignment horizontal="center"/>
    </xf>
    <xf numFmtId="0" fontId="5"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4" fillId="3" borderId="0" xfId="0" applyFont="1" applyFill="1" applyAlignment="1">
      <alignment horizontal="center"/>
    </xf>
    <xf numFmtId="0" fontId="5" fillId="0" borderId="0" xfId="0" applyFont="1" applyAlignment="1">
      <alignment horizontal="left"/>
    </xf>
    <xf numFmtId="0" fontId="5" fillId="0" borderId="1" xfId="0" applyFont="1" applyBorder="1" applyAlignment="1">
      <alignment horizontal="left" vertical="center" wrapText="1"/>
    </xf>
    <xf numFmtId="0" fontId="5" fillId="0" borderId="0" xfId="0" applyFont="1" applyAlignment="1">
      <alignment horizontal="left" vertical="center"/>
    </xf>
    <xf numFmtId="0" fontId="3" fillId="0" borderId="1" xfId="0" applyFont="1" applyBorder="1" applyAlignment="1">
      <alignment horizontal="left" wrapText="1"/>
    </xf>
    <xf numFmtId="0" fontId="3" fillId="0" borderId="0" xfId="0" applyFont="1" applyAlignment="1">
      <alignment horizontal="left" wrapText="1"/>
    </xf>
    <xf numFmtId="0" fontId="3" fillId="0" borderId="0" xfId="0" applyFont="1" applyAlignment="1">
      <alignment horizontal="left" vertical="center" wrapText="1"/>
    </xf>
    <xf numFmtId="170" fontId="0" fillId="0" borderId="11" xfId="1" applyNumberFormat="1" applyFont="1" applyBorder="1" applyAlignment="1">
      <alignment horizontal="left"/>
    </xf>
    <xf numFmtId="170" fontId="0" fillId="0" borderId="2" xfId="1" applyNumberFormat="1" applyFont="1" applyBorder="1" applyAlignment="1">
      <alignment horizontal="left"/>
    </xf>
    <xf numFmtId="170" fontId="0" fillId="0" borderId="12" xfId="1" applyNumberFormat="1" applyFont="1" applyBorder="1" applyAlignment="1">
      <alignment horizontal="left"/>
    </xf>
    <xf numFmtId="0" fontId="3" fillId="0" borderId="0" xfId="0" applyFont="1" applyAlignment="1">
      <alignment horizontal="left" vertical="center"/>
    </xf>
    <xf numFmtId="0" fontId="0" fillId="3" borderId="1" xfId="0" applyFill="1" applyBorder="1" applyAlignment="1">
      <alignment horizontal="center"/>
    </xf>
    <xf numFmtId="0" fontId="0" fillId="3" borderId="8" xfId="0" applyFill="1" applyBorder="1" applyAlignment="1">
      <alignment horizontal="center"/>
    </xf>
  </cellXfs>
  <cellStyles count="3">
    <cellStyle name="Currency" xfId="1" builtinId="4"/>
    <cellStyle name="Normal" xfId="0" builtinId="0"/>
    <cellStyle name="Percent" xfId="2" builtinId="5"/>
  </cellStyles>
  <dxfs count="22">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6"/>
  <sheetViews>
    <sheetView topLeftCell="A34" zoomScaleNormal="100" workbookViewId="0">
      <selection activeCell="D40" sqref="D40"/>
    </sheetView>
  </sheetViews>
  <sheetFormatPr defaultColWidth="10.90625" defaultRowHeight="14.5" x14ac:dyDescent="0.35"/>
  <cols>
    <col min="1" max="1" width="4.54296875" style="17" customWidth="1"/>
    <col min="2" max="2" width="7" customWidth="1"/>
    <col min="3" max="3" width="56.54296875" customWidth="1"/>
    <col min="6" max="11" width="11.54296875" style="17"/>
    <col min="14" max="14" width="17.08984375" style="61" bestFit="1" customWidth="1"/>
  </cols>
  <sheetData>
    <row r="1" spans="1:14" x14ac:dyDescent="0.35">
      <c r="N1" s="23" t="s">
        <v>15</v>
      </c>
    </row>
    <row r="2" spans="1:14" x14ac:dyDescent="0.35">
      <c r="N2" s="99">
        <v>0</v>
      </c>
    </row>
    <row r="3" spans="1:14" x14ac:dyDescent="0.35">
      <c r="N3" s="100">
        <v>2</v>
      </c>
    </row>
    <row r="6" spans="1:14" x14ac:dyDescent="0.35">
      <c r="A6" s="17" t="s">
        <v>101</v>
      </c>
      <c r="B6" s="1" t="s">
        <v>84</v>
      </c>
      <c r="D6" s="48" t="s">
        <v>102</v>
      </c>
    </row>
    <row r="7" spans="1:14" x14ac:dyDescent="0.35">
      <c r="F7" s="49" t="s">
        <v>96</v>
      </c>
      <c r="G7" s="49" t="s">
        <v>97</v>
      </c>
      <c r="H7" s="49" t="s">
        <v>98</v>
      </c>
      <c r="I7" s="49" t="s">
        <v>99</v>
      </c>
      <c r="J7" s="49" t="s">
        <v>100</v>
      </c>
      <c r="K7" s="49" t="s">
        <v>102</v>
      </c>
    </row>
    <row r="8" spans="1:14" x14ac:dyDescent="0.35">
      <c r="A8" s="17">
        <v>1</v>
      </c>
      <c r="B8" s="15" t="s">
        <v>349</v>
      </c>
      <c r="D8" s="23">
        <f t="shared" ref="D8:D13" si="0">HLOOKUP($D$6,$F$7:$K$30,A8+1,FALSE)</f>
        <v>50</v>
      </c>
      <c r="F8" s="23">
        <v>50</v>
      </c>
      <c r="G8" s="23">
        <v>50</v>
      </c>
      <c r="H8" s="23">
        <v>50</v>
      </c>
      <c r="I8" s="23">
        <v>50</v>
      </c>
      <c r="J8" s="23">
        <v>50</v>
      </c>
      <c r="K8" s="23">
        <v>50</v>
      </c>
    </row>
    <row r="9" spans="1:14" x14ac:dyDescent="0.35">
      <c r="A9" s="17">
        <v>2</v>
      </c>
      <c r="B9" s="15" t="s">
        <v>83</v>
      </c>
      <c r="D9" s="52">
        <f t="shared" si="0"/>
        <v>0.9</v>
      </c>
      <c r="F9" s="50">
        <v>0.9</v>
      </c>
      <c r="G9" s="50">
        <v>0.9</v>
      </c>
      <c r="H9" s="50">
        <v>0.9</v>
      </c>
      <c r="I9" s="50">
        <v>0.9</v>
      </c>
      <c r="J9" s="50">
        <v>0.9</v>
      </c>
      <c r="K9" s="50">
        <v>0.9</v>
      </c>
    </row>
    <row r="10" spans="1:14" x14ac:dyDescent="0.35">
      <c r="A10" s="17">
        <v>3</v>
      </c>
      <c r="B10" s="15" t="s">
        <v>85</v>
      </c>
      <c r="D10" s="23">
        <f t="shared" si="0"/>
        <v>0</v>
      </c>
      <c r="F10" s="23">
        <f>N2</f>
        <v>0</v>
      </c>
      <c r="G10" s="23">
        <v>2</v>
      </c>
      <c r="H10" s="23">
        <f>O2</f>
        <v>0</v>
      </c>
      <c r="I10" s="23">
        <v>2</v>
      </c>
      <c r="J10" s="23">
        <v>2</v>
      </c>
      <c r="K10" s="23">
        <f>R2</f>
        <v>0</v>
      </c>
    </row>
    <row r="11" spans="1:14" x14ac:dyDescent="0.35">
      <c r="A11" s="17">
        <v>4</v>
      </c>
      <c r="B11" s="15" t="s">
        <v>86</v>
      </c>
      <c r="D11" s="52">
        <f t="shared" si="0"/>
        <v>0.8</v>
      </c>
      <c r="F11" s="54">
        <v>0.8</v>
      </c>
      <c r="G11" s="54">
        <v>0.8</v>
      </c>
      <c r="H11" s="54">
        <v>0.8</v>
      </c>
      <c r="I11" s="54">
        <v>0.8</v>
      </c>
      <c r="J11" s="54">
        <v>0.8</v>
      </c>
      <c r="K11" s="54">
        <v>0.8</v>
      </c>
    </row>
    <row r="12" spans="1:14" x14ac:dyDescent="0.35">
      <c r="A12" s="17">
        <v>5</v>
      </c>
      <c r="B12" s="15" t="s">
        <v>90</v>
      </c>
      <c r="D12" s="23">
        <f t="shared" si="0"/>
        <v>25</v>
      </c>
      <c r="F12" s="23">
        <v>25</v>
      </c>
      <c r="G12" s="23">
        <v>25</v>
      </c>
      <c r="H12" s="23">
        <v>25</v>
      </c>
      <c r="I12" s="23">
        <v>25</v>
      </c>
      <c r="J12" s="23">
        <v>25</v>
      </c>
      <c r="K12" s="23">
        <v>25</v>
      </c>
    </row>
    <row r="13" spans="1:14" x14ac:dyDescent="0.35">
      <c r="A13" s="17">
        <v>6</v>
      </c>
      <c r="C13" s="15" t="s">
        <v>353</v>
      </c>
      <c r="D13" s="51">
        <f t="shared" si="0"/>
        <v>0.5</v>
      </c>
      <c r="F13" s="50">
        <v>0.5</v>
      </c>
      <c r="G13" s="50">
        <v>0.5</v>
      </c>
      <c r="H13" s="50">
        <v>0.5</v>
      </c>
      <c r="I13" s="50">
        <v>0.5</v>
      </c>
      <c r="J13" s="50">
        <v>0.5</v>
      </c>
      <c r="K13" s="50">
        <v>0.5</v>
      </c>
    </row>
    <row r="14" spans="1:14" x14ac:dyDescent="0.35">
      <c r="C14" s="15" t="s">
        <v>88</v>
      </c>
      <c r="D14" s="51">
        <f>1-D13</f>
        <v>0.5</v>
      </c>
      <c r="F14" s="50">
        <f t="shared" ref="F14:K14" si="1">1-F13</f>
        <v>0.5</v>
      </c>
      <c r="G14" s="50">
        <f t="shared" si="1"/>
        <v>0.5</v>
      </c>
      <c r="H14" s="50">
        <f t="shared" si="1"/>
        <v>0.5</v>
      </c>
      <c r="I14" s="50">
        <f t="shared" si="1"/>
        <v>0.5</v>
      </c>
      <c r="J14" s="50">
        <f t="shared" si="1"/>
        <v>0.5</v>
      </c>
      <c r="K14" s="50">
        <f t="shared" si="1"/>
        <v>0.5</v>
      </c>
    </row>
    <row r="15" spans="1:14" x14ac:dyDescent="0.35">
      <c r="A15" s="17">
        <v>7</v>
      </c>
      <c r="C15" s="15" t="s">
        <v>89</v>
      </c>
      <c r="D15" s="51">
        <f>HLOOKUP($D$6,$F$7:$K$30,A15+2,FALSE)</f>
        <v>0.25</v>
      </c>
      <c r="F15" s="50">
        <v>0.25</v>
      </c>
      <c r="G15" s="50">
        <v>0.25</v>
      </c>
      <c r="H15" s="50">
        <v>0.25</v>
      </c>
      <c r="I15" s="50">
        <v>0.25</v>
      </c>
      <c r="J15" s="50">
        <v>0.25</v>
      </c>
      <c r="K15" s="50">
        <v>0.25</v>
      </c>
    </row>
    <row r="16" spans="1:14" x14ac:dyDescent="0.35">
      <c r="C16" s="15" t="s">
        <v>354</v>
      </c>
      <c r="D16" s="51">
        <f>1-D15</f>
        <v>0.75</v>
      </c>
      <c r="F16" s="50">
        <f t="shared" ref="F16" si="2">1-F15</f>
        <v>0.75</v>
      </c>
      <c r="G16" s="50">
        <f t="shared" ref="G16" si="3">1-G15</f>
        <v>0.75</v>
      </c>
      <c r="H16" s="50">
        <f t="shared" ref="H16" si="4">1-H15</f>
        <v>0.75</v>
      </c>
      <c r="I16" s="50">
        <f t="shared" ref="I16" si="5">1-I15</f>
        <v>0.75</v>
      </c>
      <c r="J16" s="50">
        <f t="shared" ref="J16" si="6">1-J15</f>
        <v>0.75</v>
      </c>
      <c r="K16" s="50">
        <f t="shared" ref="K16" si="7">1-K15</f>
        <v>0.75</v>
      </c>
    </row>
    <row r="17" spans="1:11" x14ac:dyDescent="0.35">
      <c r="A17" s="17">
        <v>8</v>
      </c>
      <c r="B17" s="15" t="s">
        <v>91</v>
      </c>
      <c r="D17" s="23">
        <f>HLOOKUP($D$6,$F$7:$K$30,A17+3,FALSE)</f>
        <v>30</v>
      </c>
      <c r="F17" s="23">
        <v>0</v>
      </c>
      <c r="G17" s="23">
        <v>0</v>
      </c>
      <c r="H17" s="23">
        <v>30</v>
      </c>
      <c r="I17" s="23">
        <v>30</v>
      </c>
      <c r="J17" s="23">
        <v>0</v>
      </c>
      <c r="K17" s="23">
        <v>30</v>
      </c>
    </row>
    <row r="18" spans="1:11" x14ac:dyDescent="0.35">
      <c r="B18" s="15" t="s">
        <v>105</v>
      </c>
      <c r="F18"/>
      <c r="G18"/>
      <c r="H18"/>
      <c r="I18"/>
      <c r="J18"/>
      <c r="K18"/>
    </row>
    <row r="19" spans="1:11" x14ac:dyDescent="0.35">
      <c r="A19" s="17">
        <v>9</v>
      </c>
      <c r="C19" t="s">
        <v>21</v>
      </c>
      <c r="D19" s="122">
        <f>HLOOKUP($D$6,$F$7:$K$30,A19+4,FALSE)</f>
        <v>0.02</v>
      </c>
      <c r="F19" s="53">
        <v>0</v>
      </c>
      <c r="G19" s="53">
        <v>0</v>
      </c>
      <c r="H19" s="53">
        <v>0</v>
      </c>
      <c r="I19" s="53">
        <v>0</v>
      </c>
      <c r="J19" s="53">
        <v>0</v>
      </c>
      <c r="K19" s="53">
        <v>0.02</v>
      </c>
    </row>
    <row r="20" spans="1:11" x14ac:dyDescent="0.35">
      <c r="A20" s="17">
        <v>10</v>
      </c>
      <c r="C20" t="s">
        <v>22</v>
      </c>
      <c r="D20" s="122">
        <f t="shared" ref="D20:D25" si="8">HLOOKUP($D$6,$F$7:$K$30,A20+4,FALSE)</f>
        <v>0.02</v>
      </c>
      <c r="F20" s="53">
        <v>0</v>
      </c>
      <c r="G20" s="53">
        <v>0</v>
      </c>
      <c r="H20" s="53">
        <v>0</v>
      </c>
      <c r="I20" s="53">
        <v>0</v>
      </c>
      <c r="J20" s="53">
        <v>0</v>
      </c>
      <c r="K20" s="53">
        <v>0.02</v>
      </c>
    </row>
    <row r="21" spans="1:11" x14ac:dyDescent="0.35">
      <c r="A21" s="17">
        <v>11</v>
      </c>
      <c r="C21" t="s">
        <v>23</v>
      </c>
      <c r="D21" s="122">
        <f t="shared" si="8"/>
        <v>0.02</v>
      </c>
      <c r="F21" s="53">
        <v>0</v>
      </c>
      <c r="G21" s="53">
        <v>0</v>
      </c>
      <c r="H21" s="53">
        <v>0</v>
      </c>
      <c r="I21" s="53">
        <v>0</v>
      </c>
      <c r="J21" s="53">
        <v>0</v>
      </c>
      <c r="K21" s="53">
        <v>0.02</v>
      </c>
    </row>
    <row r="22" spans="1:11" x14ac:dyDescent="0.35">
      <c r="A22" s="17">
        <v>12</v>
      </c>
      <c r="C22" t="s">
        <v>24</v>
      </c>
      <c r="D22" s="122">
        <f t="shared" si="8"/>
        <v>0.02</v>
      </c>
      <c r="F22" s="53">
        <v>0</v>
      </c>
      <c r="G22" s="53">
        <v>0</v>
      </c>
      <c r="H22" s="53">
        <v>0</v>
      </c>
      <c r="I22" s="53">
        <v>0</v>
      </c>
      <c r="J22" s="53">
        <v>0</v>
      </c>
      <c r="K22" s="53">
        <v>0.02</v>
      </c>
    </row>
    <row r="23" spans="1:11" x14ac:dyDescent="0.35">
      <c r="A23" s="17">
        <v>13</v>
      </c>
      <c r="C23" t="s">
        <v>25</v>
      </c>
      <c r="D23" s="122">
        <f t="shared" si="8"/>
        <v>0.02</v>
      </c>
      <c r="F23" s="53">
        <v>0</v>
      </c>
      <c r="G23" s="53">
        <v>0</v>
      </c>
      <c r="H23" s="53">
        <v>0</v>
      </c>
      <c r="I23" s="53">
        <v>0</v>
      </c>
      <c r="J23" s="53">
        <v>0</v>
      </c>
      <c r="K23" s="53">
        <v>0.02</v>
      </c>
    </row>
    <row r="24" spans="1:11" x14ac:dyDescent="0.35">
      <c r="A24" s="17">
        <v>14</v>
      </c>
      <c r="C24" t="s">
        <v>26</v>
      </c>
      <c r="D24" s="122">
        <f t="shared" si="8"/>
        <v>0.02</v>
      </c>
      <c r="F24" s="53">
        <v>0</v>
      </c>
      <c r="G24" s="53">
        <v>0</v>
      </c>
      <c r="H24" s="53">
        <v>0</v>
      </c>
      <c r="I24" s="53">
        <v>0</v>
      </c>
      <c r="J24" s="53">
        <v>0</v>
      </c>
      <c r="K24" s="53">
        <v>0.02</v>
      </c>
    </row>
    <row r="25" spans="1:11" x14ac:dyDescent="0.35">
      <c r="A25" s="17">
        <v>15</v>
      </c>
      <c r="C25" t="s">
        <v>27</v>
      </c>
      <c r="D25" s="122">
        <f t="shared" si="8"/>
        <v>0.02</v>
      </c>
      <c r="F25" s="53">
        <v>0</v>
      </c>
      <c r="G25" s="53">
        <v>0</v>
      </c>
      <c r="H25" s="53">
        <v>0</v>
      </c>
      <c r="I25" s="53">
        <v>0</v>
      </c>
      <c r="J25" s="53">
        <v>0</v>
      </c>
      <c r="K25" s="53">
        <v>0.02</v>
      </c>
    </row>
    <row r="26" spans="1:11" x14ac:dyDescent="0.35">
      <c r="D26" s="17"/>
    </row>
    <row r="27" spans="1:11" x14ac:dyDescent="0.35">
      <c r="B27" s="1" t="s">
        <v>93</v>
      </c>
      <c r="D27" s="17"/>
    </row>
    <row r="28" spans="1:11" x14ac:dyDescent="0.35">
      <c r="D28" s="17"/>
    </row>
    <row r="29" spans="1:11" x14ac:dyDescent="0.35">
      <c r="A29" s="17">
        <v>17</v>
      </c>
      <c r="B29" t="s">
        <v>103</v>
      </c>
      <c r="D29" s="55">
        <f>HLOOKUP($D$6,$F$7:$K$30,A29+6,FALSE)</f>
        <v>5</v>
      </c>
      <c r="E29" s="56"/>
      <c r="F29" s="57">
        <v>0</v>
      </c>
      <c r="G29" s="57">
        <v>0</v>
      </c>
      <c r="H29" s="57">
        <v>0</v>
      </c>
      <c r="I29" s="57">
        <v>0</v>
      </c>
      <c r="J29" s="57">
        <v>5</v>
      </c>
      <c r="K29" s="57">
        <v>5</v>
      </c>
    </row>
    <row r="30" spans="1:11" x14ac:dyDescent="0.35">
      <c r="A30" s="17">
        <v>18</v>
      </c>
      <c r="B30" t="s">
        <v>104</v>
      </c>
      <c r="D30" s="55">
        <f>HLOOKUP($D$6,$F$7:$K$30,A30+6,FALSE)</f>
        <v>5</v>
      </c>
      <c r="E30" s="56"/>
      <c r="F30" s="57">
        <v>0</v>
      </c>
      <c r="G30" s="57">
        <v>0</v>
      </c>
      <c r="H30" s="57">
        <v>0</v>
      </c>
      <c r="I30" s="57">
        <v>0</v>
      </c>
      <c r="J30" s="57">
        <v>5</v>
      </c>
      <c r="K30" s="57">
        <v>5</v>
      </c>
    </row>
    <row r="31" spans="1:11" x14ac:dyDescent="0.35">
      <c r="B31" t="s">
        <v>94</v>
      </c>
      <c r="D31" s="52">
        <f t="shared" ref="D31:I31" si="9">D9-D29/100</f>
        <v>0.85</v>
      </c>
      <c r="E31" s="58"/>
      <c r="F31" s="52">
        <f t="shared" si="9"/>
        <v>0.9</v>
      </c>
      <c r="G31" s="52">
        <f t="shared" si="9"/>
        <v>0.9</v>
      </c>
      <c r="H31" s="52">
        <f t="shared" si="9"/>
        <v>0.9</v>
      </c>
      <c r="I31" s="52">
        <f t="shared" si="9"/>
        <v>0.9</v>
      </c>
      <c r="J31" s="52">
        <f>J9-J29/100</f>
        <v>0.85</v>
      </c>
      <c r="K31" s="52">
        <f>K9-K29/100</f>
        <v>0.85</v>
      </c>
    </row>
    <row r="32" spans="1:11" x14ac:dyDescent="0.35">
      <c r="B32" t="s">
        <v>95</v>
      </c>
      <c r="D32" s="52">
        <f>D11+D30/100</f>
        <v>0.85000000000000009</v>
      </c>
      <c r="E32" s="58"/>
      <c r="F32" s="52">
        <f>F11+F30/100</f>
        <v>0.8</v>
      </c>
      <c r="G32" s="52">
        <f t="shared" ref="G32:K32" si="10">G11+G30/100</f>
        <v>0.8</v>
      </c>
      <c r="H32" s="52">
        <f t="shared" si="10"/>
        <v>0.8</v>
      </c>
      <c r="I32" s="52">
        <f t="shared" si="10"/>
        <v>0.8</v>
      </c>
      <c r="J32" s="52">
        <f t="shared" si="10"/>
        <v>0.85000000000000009</v>
      </c>
      <c r="K32" s="52">
        <f t="shared" si="10"/>
        <v>0.85000000000000009</v>
      </c>
    </row>
    <row r="33" spans="1:14" s="28" customFormat="1" x14ac:dyDescent="0.35">
      <c r="A33" s="32"/>
      <c r="F33" s="32"/>
      <c r="G33" s="32"/>
      <c r="H33" s="32"/>
      <c r="I33" s="32"/>
      <c r="J33" s="32"/>
      <c r="K33" s="32"/>
      <c r="N33" s="63"/>
    </row>
    <row r="35" spans="1:14" x14ac:dyDescent="0.35">
      <c r="B35" s="1" t="s">
        <v>139</v>
      </c>
    </row>
    <row r="37" spans="1:14" x14ac:dyDescent="0.35">
      <c r="B37" t="s">
        <v>146</v>
      </c>
      <c r="D37" s="23" t="str">
        <f>IF('B - Onerous at Dec 31, 2019'!C11="does","YES","NO")</f>
        <v>NO</v>
      </c>
      <c r="F37" s="23" t="s">
        <v>148</v>
      </c>
      <c r="G37" s="23" t="s">
        <v>148</v>
      </c>
      <c r="H37" s="23" t="s">
        <v>148</v>
      </c>
      <c r="I37" s="23" t="s">
        <v>149</v>
      </c>
      <c r="J37" s="23" t="s">
        <v>148</v>
      </c>
      <c r="K37" s="23" t="s">
        <v>148</v>
      </c>
    </row>
    <row r="39" spans="1:14" x14ac:dyDescent="0.35">
      <c r="B39" t="s">
        <v>141</v>
      </c>
    </row>
    <row r="40" spans="1:14" x14ac:dyDescent="0.35">
      <c r="C40" s="15">
        <v>2020</v>
      </c>
      <c r="D40" s="106">
        <f>'C - Rec. Tests at Dec 31, 2019'!E23</f>
        <v>0.22162791307543683</v>
      </c>
      <c r="F40" s="106">
        <v>0</v>
      </c>
      <c r="G40" s="106">
        <v>0</v>
      </c>
      <c r="H40" s="106">
        <v>0.61572619400846618</v>
      </c>
      <c r="I40" s="106">
        <v>0</v>
      </c>
      <c r="J40" s="106">
        <v>0</v>
      </c>
      <c r="K40" s="106">
        <v>0.22162791307543683</v>
      </c>
    </row>
    <row r="41" spans="1:14" x14ac:dyDescent="0.35">
      <c r="C41" s="15">
        <v>2021</v>
      </c>
      <c r="D41" s="106">
        <f>'C - Rec. Tests at Dec 31, 2019'!F23</f>
        <v>1.4782587877931253</v>
      </c>
      <c r="F41" s="106">
        <v>0</v>
      </c>
      <c r="G41" s="106">
        <v>0</v>
      </c>
      <c r="H41" s="106">
        <v>2.0032131019494184</v>
      </c>
      <c r="I41" s="106">
        <v>2.0032131019494184</v>
      </c>
      <c r="J41" s="106">
        <v>0</v>
      </c>
      <c r="K41" s="106">
        <v>1.4782587877931253</v>
      </c>
    </row>
    <row r="42" spans="1:14" x14ac:dyDescent="0.35">
      <c r="C42" s="15">
        <v>2022</v>
      </c>
      <c r="D42" s="106">
        <f>'C - Rec. Tests at Dec 31, 2019'!G23</f>
        <v>3.6240841449371288</v>
      </c>
      <c r="F42" s="106">
        <v>0</v>
      </c>
      <c r="G42" s="106">
        <v>0</v>
      </c>
      <c r="H42" s="106">
        <v>4.0852846524296069</v>
      </c>
      <c r="I42" s="106">
        <v>4.0852846524296087</v>
      </c>
      <c r="J42" s="106">
        <v>0</v>
      </c>
      <c r="K42" s="106">
        <v>3.6240841449371288</v>
      </c>
    </row>
    <row r="43" spans="1:14" x14ac:dyDescent="0.35">
      <c r="C43" s="15">
        <v>2023</v>
      </c>
      <c r="D43" s="106">
        <f>'C - Rec. Tests at Dec 31, 2019'!H23</f>
        <v>0</v>
      </c>
      <c r="F43" s="106">
        <v>0</v>
      </c>
      <c r="G43" s="106">
        <v>0</v>
      </c>
      <c r="H43" s="106">
        <v>0</v>
      </c>
      <c r="I43" s="106">
        <v>0</v>
      </c>
      <c r="J43" s="106">
        <v>0</v>
      </c>
      <c r="K43" s="106">
        <v>0</v>
      </c>
    </row>
    <row r="44" spans="1:14" x14ac:dyDescent="0.35">
      <c r="C44" s="15">
        <v>2024</v>
      </c>
      <c r="D44" s="106">
        <f>'C - Rec. Tests at Dec 31, 2019'!I23</f>
        <v>0</v>
      </c>
      <c r="F44" s="106">
        <v>0</v>
      </c>
      <c r="G44" s="106">
        <v>0</v>
      </c>
      <c r="H44" s="106">
        <v>0</v>
      </c>
      <c r="I44" s="106">
        <v>0</v>
      </c>
      <c r="J44" s="106">
        <v>0</v>
      </c>
      <c r="K44" s="106">
        <v>0</v>
      </c>
    </row>
    <row r="45" spans="1:14" x14ac:dyDescent="0.35">
      <c r="C45" s="15">
        <v>2025</v>
      </c>
      <c r="D45" s="106">
        <f>'C - Rec. Tests at Dec 31, 2019'!J23</f>
        <v>0</v>
      </c>
      <c r="F45" s="106">
        <v>0</v>
      </c>
      <c r="G45" s="106">
        <v>0</v>
      </c>
      <c r="H45" s="106">
        <v>0</v>
      </c>
      <c r="I45" s="106">
        <v>0</v>
      </c>
      <c r="J45" s="106">
        <v>0</v>
      </c>
      <c r="K45" s="106">
        <v>0</v>
      </c>
    </row>
    <row r="46" spans="1:14" x14ac:dyDescent="0.35">
      <c r="C46" s="15">
        <v>2026</v>
      </c>
      <c r="D46" s="106">
        <f>'C - Rec. Tests at Dec 31, 2019'!K23</f>
        <v>0</v>
      </c>
      <c r="F46" s="106">
        <v>0</v>
      </c>
      <c r="G46" s="106">
        <v>0</v>
      </c>
      <c r="H46" s="106">
        <v>0</v>
      </c>
      <c r="I46" s="106">
        <v>0</v>
      </c>
      <c r="J46" s="106">
        <v>0</v>
      </c>
      <c r="K46" s="106">
        <v>0</v>
      </c>
    </row>
    <row r="47" spans="1:14" x14ac:dyDescent="0.35">
      <c r="F47"/>
      <c r="G47"/>
      <c r="H47"/>
      <c r="I47"/>
      <c r="J47"/>
      <c r="K47"/>
    </row>
    <row r="48" spans="1:14" x14ac:dyDescent="0.35">
      <c r="B48" t="s">
        <v>142</v>
      </c>
      <c r="F48"/>
      <c r="G48"/>
      <c r="H48"/>
      <c r="I48"/>
      <c r="J48"/>
      <c r="K48"/>
    </row>
    <row r="49" spans="2:11" x14ac:dyDescent="0.35">
      <c r="C49" s="15">
        <v>2019</v>
      </c>
      <c r="D49" s="106">
        <f>IF('A - Base data at Dec 31, 2019'!C54=2019,'C - Rec. Tests at Dec 31, 2019'!H115,0)</f>
        <v>0</v>
      </c>
      <c r="F49" s="106">
        <v>0</v>
      </c>
      <c r="G49" s="106">
        <v>0</v>
      </c>
      <c r="H49" s="106">
        <v>0</v>
      </c>
      <c r="I49" s="106">
        <v>0</v>
      </c>
      <c r="J49" s="106">
        <v>0</v>
      </c>
      <c r="K49" s="106">
        <v>0</v>
      </c>
    </row>
    <row r="50" spans="2:11" x14ac:dyDescent="0.35">
      <c r="F50"/>
      <c r="G50"/>
      <c r="H50"/>
      <c r="I50"/>
      <c r="J50"/>
      <c r="K50"/>
    </row>
    <row r="51" spans="2:11" x14ac:dyDescent="0.35">
      <c r="B51" t="s">
        <v>140</v>
      </c>
      <c r="D51" s="17"/>
    </row>
    <row r="52" spans="2:11" x14ac:dyDescent="0.35">
      <c r="C52" s="15">
        <v>2020</v>
      </c>
      <c r="D52" s="106">
        <f>'C - Rec. Tests at Dec 31, 2019'!E149</f>
        <v>2.0607649475996954</v>
      </c>
      <c r="F52" s="106">
        <v>0</v>
      </c>
      <c r="G52" s="106">
        <v>4.166666666666667</v>
      </c>
      <c r="H52" s="106">
        <v>1.6666666666666661</v>
      </c>
      <c r="I52" s="106">
        <v>0</v>
      </c>
      <c r="J52" s="106">
        <v>4.166666666666667</v>
      </c>
      <c r="K52" s="106">
        <v>2.0607649475996954</v>
      </c>
    </row>
    <row r="53" spans="2:11" x14ac:dyDescent="0.35">
      <c r="C53" s="15">
        <v>2021</v>
      </c>
      <c r="D53" s="106">
        <f>'C - Rec. Tests at Dec 31, 2019'!F149</f>
        <v>2.8582876474896257</v>
      </c>
      <c r="F53" s="106">
        <v>0</v>
      </c>
      <c r="G53" s="106">
        <v>4.166666666666667</v>
      </c>
      <c r="H53" s="106">
        <v>2.3333333333333326</v>
      </c>
      <c r="I53" s="106">
        <v>6.5</v>
      </c>
      <c r="J53" s="106">
        <v>4.166666666666667</v>
      </c>
      <c r="K53" s="106">
        <v>2.8582876474896257</v>
      </c>
    </row>
    <row r="54" spans="2:11" x14ac:dyDescent="0.35">
      <c r="C54" s="15">
        <v>2022</v>
      </c>
      <c r="D54" s="106">
        <f>'C - Rec. Tests at Dec 31, 2019'!G149</f>
        <v>2.5612005074924795</v>
      </c>
      <c r="F54" s="106">
        <v>0</v>
      </c>
      <c r="G54" s="106">
        <v>4.166666666666667</v>
      </c>
      <c r="H54" s="106">
        <v>2.1000000000000014</v>
      </c>
      <c r="I54" s="106">
        <v>6.2666666666666657</v>
      </c>
      <c r="J54" s="106">
        <v>4.166666666666667</v>
      </c>
      <c r="K54" s="106">
        <v>2.5612005074924795</v>
      </c>
    </row>
    <row r="55" spans="2:11" x14ac:dyDescent="0.35">
      <c r="C55" s="15">
        <v>2023</v>
      </c>
      <c r="D55" s="106">
        <f>'C - Rec. Tests at Dec 31, 2019'!H149</f>
        <v>7.8491490478617791</v>
      </c>
      <c r="F55" s="106">
        <v>0</v>
      </c>
      <c r="G55" s="106">
        <v>0</v>
      </c>
      <c r="H55" s="106">
        <v>7.8491490478617791</v>
      </c>
      <c r="I55" s="106">
        <v>7.8491490478617791</v>
      </c>
      <c r="J55" s="106">
        <v>0</v>
      </c>
      <c r="K55" s="106">
        <v>7.8491490478617791</v>
      </c>
    </row>
    <row r="56" spans="2:11" x14ac:dyDescent="0.35">
      <c r="C56" s="15">
        <v>2024</v>
      </c>
      <c r="D56" s="106">
        <f>'C - Rec. Tests at Dec 31, 2019'!I149</f>
        <v>9.3466270037507329</v>
      </c>
      <c r="F56" s="106">
        <v>0</v>
      </c>
      <c r="G56" s="106">
        <v>0</v>
      </c>
      <c r="H56" s="106">
        <v>9.3466270037507329</v>
      </c>
      <c r="I56" s="106">
        <v>9.3466270037507329</v>
      </c>
      <c r="J56" s="106">
        <v>0</v>
      </c>
      <c r="K56" s="106">
        <v>9.3466270037507329</v>
      </c>
    </row>
    <row r="57" spans="2:11" x14ac:dyDescent="0.35">
      <c r="C57" s="15">
        <v>2025</v>
      </c>
      <c r="D57" s="106">
        <f>'C - Rec. Tests at Dec 31, 2019'!J149</f>
        <v>0</v>
      </c>
      <c r="F57" s="106">
        <v>0</v>
      </c>
      <c r="G57" s="106">
        <v>0</v>
      </c>
      <c r="H57" s="106">
        <v>0</v>
      </c>
      <c r="I57" s="106">
        <v>0</v>
      </c>
      <c r="J57" s="106">
        <v>0</v>
      </c>
      <c r="K57" s="106">
        <v>0</v>
      </c>
    </row>
    <row r="58" spans="2:11" x14ac:dyDescent="0.35">
      <c r="C58" s="15">
        <v>2026</v>
      </c>
      <c r="D58" s="106">
        <f>'C - Rec. Tests at Dec 31, 2019'!K149</f>
        <v>0</v>
      </c>
      <c r="F58" s="106">
        <v>0</v>
      </c>
      <c r="G58" s="106">
        <v>0</v>
      </c>
      <c r="H58" s="106">
        <v>0</v>
      </c>
      <c r="I58" s="106">
        <v>0</v>
      </c>
      <c r="J58" s="106">
        <v>0</v>
      </c>
      <c r="K58" s="106">
        <v>0</v>
      </c>
    </row>
    <row r="59" spans="2:11" x14ac:dyDescent="0.35">
      <c r="C59" t="s">
        <v>4</v>
      </c>
      <c r="D59" s="106">
        <f>SUM(D52:D58)</f>
        <v>24.67602915419431</v>
      </c>
      <c r="F59" s="106">
        <v>0</v>
      </c>
      <c r="G59" s="106">
        <v>12.5</v>
      </c>
      <c r="H59" s="106">
        <v>23.295776051612513</v>
      </c>
      <c r="I59" s="106">
        <v>29.962442718279178</v>
      </c>
      <c r="J59" s="106">
        <v>12.5</v>
      </c>
      <c r="K59" s="106">
        <v>24.67602915419431</v>
      </c>
    </row>
    <row r="60" spans="2:11" x14ac:dyDescent="0.35">
      <c r="F60"/>
      <c r="G60"/>
      <c r="H60"/>
      <c r="I60"/>
      <c r="J60"/>
      <c r="K60"/>
    </row>
    <row r="61" spans="2:11" x14ac:dyDescent="0.35">
      <c r="B61" s="1" t="s">
        <v>143</v>
      </c>
      <c r="F61"/>
      <c r="G61"/>
      <c r="H61"/>
      <c r="I61"/>
      <c r="J61"/>
      <c r="K61"/>
    </row>
    <row r="62" spans="2:11" x14ac:dyDescent="0.35">
      <c r="F62"/>
      <c r="G62"/>
      <c r="H62"/>
      <c r="I62"/>
      <c r="J62"/>
      <c r="K62"/>
    </row>
    <row r="63" spans="2:11" x14ac:dyDescent="0.35">
      <c r="B63" t="s">
        <v>147</v>
      </c>
      <c r="D63" s="23" t="str">
        <f>IF('E - Onerous at Dec 31, 2020'!C11="does","YES","NO")</f>
        <v>NO</v>
      </c>
      <c r="F63" s="23" t="s">
        <v>148</v>
      </c>
      <c r="G63" s="23" t="s">
        <v>148</v>
      </c>
      <c r="H63" s="23" t="s">
        <v>148</v>
      </c>
      <c r="I63" s="23" t="s">
        <v>148</v>
      </c>
      <c r="J63" s="23" t="s">
        <v>149</v>
      </c>
      <c r="K63" s="23" t="s">
        <v>148</v>
      </c>
    </row>
    <row r="64" spans="2:11" x14ac:dyDescent="0.35">
      <c r="F64"/>
      <c r="G64"/>
      <c r="H64"/>
      <c r="I64"/>
      <c r="J64"/>
      <c r="K64"/>
    </row>
    <row r="65" spans="2:11" x14ac:dyDescent="0.35">
      <c r="B65" t="s">
        <v>141</v>
      </c>
      <c r="F65"/>
      <c r="G65"/>
      <c r="H65"/>
      <c r="I65"/>
      <c r="J65"/>
      <c r="K65"/>
    </row>
    <row r="66" spans="2:11" x14ac:dyDescent="0.35">
      <c r="C66" s="15">
        <v>2020</v>
      </c>
      <c r="D66" s="106">
        <f>'F - Rec. Tests at Dec 31, 2020'!E23</f>
        <v>0</v>
      </c>
      <c r="F66" s="106">
        <v>0</v>
      </c>
      <c r="G66" s="106">
        <v>0</v>
      </c>
      <c r="H66" s="106">
        <v>0</v>
      </c>
      <c r="I66" s="106">
        <v>0</v>
      </c>
      <c r="J66" s="106">
        <v>0</v>
      </c>
      <c r="K66" s="106">
        <v>0</v>
      </c>
    </row>
    <row r="67" spans="2:11" x14ac:dyDescent="0.35">
      <c r="C67" s="15">
        <v>2021</v>
      </c>
      <c r="D67" s="106">
        <f>'F - Rec. Tests at Dec 31, 2020'!F23</f>
        <v>4.4793684095227526</v>
      </c>
      <c r="F67" s="106">
        <v>0</v>
      </c>
      <c r="G67" s="106">
        <v>0</v>
      </c>
      <c r="H67" s="106">
        <v>0</v>
      </c>
      <c r="I67" s="106">
        <v>0</v>
      </c>
      <c r="J67" s="106">
        <v>0</v>
      </c>
      <c r="K67" s="106">
        <v>4.4793684095227526</v>
      </c>
    </row>
    <row r="68" spans="2:11" x14ac:dyDescent="0.35">
      <c r="C68" s="15">
        <v>2022</v>
      </c>
      <c r="D68" s="106">
        <f>'F - Rec. Tests at Dec 31, 2020'!G23</f>
        <v>7.0963533417115929</v>
      </c>
      <c r="F68" s="106">
        <v>0</v>
      </c>
      <c r="G68" s="106">
        <v>0</v>
      </c>
      <c r="H68" s="106">
        <v>0</v>
      </c>
      <c r="I68" s="106">
        <v>0</v>
      </c>
      <c r="J68" s="106">
        <v>5.3875000000000171</v>
      </c>
      <c r="K68" s="106">
        <v>7.0963533417115929</v>
      </c>
    </row>
    <row r="69" spans="2:11" x14ac:dyDescent="0.35">
      <c r="C69" s="15">
        <v>2023</v>
      </c>
      <c r="D69" s="106">
        <f>'F - Rec. Tests at Dec 31, 2020'!H23</f>
        <v>7.833047628961971</v>
      </c>
      <c r="F69" s="106">
        <v>0</v>
      </c>
      <c r="G69" s="106">
        <v>0</v>
      </c>
      <c r="H69" s="106">
        <v>0</v>
      </c>
      <c r="I69" s="106">
        <v>0</v>
      </c>
      <c r="J69" s="106">
        <v>0.8293750000000264</v>
      </c>
      <c r="K69" s="106">
        <v>7.833047628961971</v>
      </c>
    </row>
    <row r="70" spans="2:11" x14ac:dyDescent="0.35">
      <c r="C70" s="15">
        <v>2024</v>
      </c>
      <c r="D70" s="106">
        <f>'F - Rec. Tests at Dec 31, 2020'!I23</f>
        <v>5.4760676484865378</v>
      </c>
      <c r="F70" s="106">
        <v>0</v>
      </c>
      <c r="G70" s="106">
        <v>0</v>
      </c>
      <c r="H70" s="106">
        <v>0</v>
      </c>
      <c r="I70" s="106">
        <v>0</v>
      </c>
      <c r="J70" s="106">
        <v>0</v>
      </c>
      <c r="K70" s="106">
        <v>5.4760676484865378</v>
      </c>
    </row>
    <row r="71" spans="2:11" x14ac:dyDescent="0.35">
      <c r="C71" s="15">
        <v>2025</v>
      </c>
      <c r="D71" s="106">
        <f>'F - Rec. Tests at Dec 31, 2020'!J23</f>
        <v>0</v>
      </c>
      <c r="F71" s="106">
        <v>0</v>
      </c>
      <c r="G71" s="106">
        <v>0</v>
      </c>
      <c r="H71" s="106">
        <v>0</v>
      </c>
      <c r="I71" s="106">
        <v>0</v>
      </c>
      <c r="J71" s="106">
        <v>0</v>
      </c>
      <c r="K71" s="106">
        <v>0</v>
      </c>
    </row>
    <row r="72" spans="2:11" x14ac:dyDescent="0.35">
      <c r="C72" s="15">
        <v>2026</v>
      </c>
      <c r="D72" s="106">
        <f>'F - Rec. Tests at Dec 31, 2020'!K23</f>
        <v>0</v>
      </c>
      <c r="F72" s="106">
        <v>0</v>
      </c>
      <c r="G72" s="106">
        <v>0</v>
      </c>
      <c r="H72" s="106">
        <v>0</v>
      </c>
      <c r="I72" s="106">
        <v>0</v>
      </c>
      <c r="J72" s="106">
        <v>0</v>
      </c>
      <c r="K72" s="106">
        <v>0</v>
      </c>
    </row>
    <row r="73" spans="2:11" x14ac:dyDescent="0.35">
      <c r="F73"/>
      <c r="G73"/>
      <c r="H73"/>
      <c r="I73"/>
      <c r="J73"/>
      <c r="K73"/>
    </row>
    <row r="74" spans="2:11" x14ac:dyDescent="0.35">
      <c r="B74" t="s">
        <v>142</v>
      </c>
      <c r="F74"/>
      <c r="G74"/>
      <c r="H74"/>
      <c r="I74"/>
      <c r="J74"/>
      <c r="K74"/>
    </row>
    <row r="75" spans="2:11" x14ac:dyDescent="0.35">
      <c r="C75" s="15">
        <v>2019</v>
      </c>
      <c r="D75" s="106">
        <f>IF('A - Base data at Dec 31, 2019'!C54=2019,'F - Rec. Tests at Dec 31, 2020'!I116,0)</f>
        <v>0</v>
      </c>
      <c r="F75" s="106">
        <v>0</v>
      </c>
      <c r="G75" s="106">
        <v>0</v>
      </c>
      <c r="H75" s="106">
        <v>0</v>
      </c>
      <c r="I75" s="106">
        <v>0</v>
      </c>
      <c r="J75" s="106">
        <v>0</v>
      </c>
      <c r="K75" s="106">
        <v>0</v>
      </c>
    </row>
    <row r="76" spans="2:11" x14ac:dyDescent="0.35">
      <c r="C76" s="15">
        <v>2020</v>
      </c>
      <c r="D76" s="106">
        <f>IF('A - Base data at Dec 31, 2019'!C54=2019,'F - Rec. Tests at Dec 31, 2020'!I129,'F - Rec. Tests at Dec 31, 2020'!I116)</f>
        <v>0</v>
      </c>
      <c r="F76" s="106">
        <v>0</v>
      </c>
      <c r="G76" s="106">
        <v>0</v>
      </c>
      <c r="H76" s="106">
        <v>1.2996051013141701</v>
      </c>
      <c r="I76" s="106">
        <v>3.4695584584211421</v>
      </c>
      <c r="J76" s="106">
        <v>2.2477083333333137</v>
      </c>
      <c r="K76" s="106">
        <v>0</v>
      </c>
    </row>
    <row r="77" spans="2:11" x14ac:dyDescent="0.35">
      <c r="F77"/>
      <c r="G77"/>
      <c r="H77"/>
      <c r="I77"/>
      <c r="J77"/>
      <c r="K77"/>
    </row>
    <row r="78" spans="2:11" x14ac:dyDescent="0.35">
      <c r="B78" t="s">
        <v>140</v>
      </c>
      <c r="D78" s="17"/>
    </row>
    <row r="79" spans="2:11" x14ac:dyDescent="0.35">
      <c r="C79" s="15">
        <v>2020</v>
      </c>
      <c r="D79" s="106">
        <f>'F - Rec. Tests at Dec 31, 2020'!E164</f>
        <v>0</v>
      </c>
      <c r="F79" s="106">
        <v>0</v>
      </c>
      <c r="G79" s="106">
        <v>0</v>
      </c>
      <c r="H79" s="106">
        <v>0</v>
      </c>
      <c r="I79" s="106">
        <v>0</v>
      </c>
      <c r="J79" s="106">
        <v>0</v>
      </c>
      <c r="K79" s="106">
        <v>0</v>
      </c>
    </row>
    <row r="80" spans="2:11" x14ac:dyDescent="0.35">
      <c r="C80" s="15">
        <v>2021</v>
      </c>
      <c r="D80" s="106">
        <f>'F - Rec. Tests at Dec 31, 2020'!F164</f>
        <v>6.7122525713002066</v>
      </c>
      <c r="F80" s="106">
        <v>8.3333333333333339</v>
      </c>
      <c r="G80" s="106">
        <v>12.5</v>
      </c>
      <c r="H80" s="106">
        <v>10.016864116009581</v>
      </c>
      <c r="I80" s="106">
        <v>14.833333333333332</v>
      </c>
      <c r="J80" s="106">
        <v>0</v>
      </c>
      <c r="K80" s="106">
        <v>6.7122525713002066</v>
      </c>
    </row>
    <row r="81" spans="3:11" x14ac:dyDescent="0.35">
      <c r="C81" s="15">
        <v>2022</v>
      </c>
      <c r="D81" s="106">
        <f>'F - Rec. Tests at Dec 31, 2020'!G164</f>
        <v>3.7981804991142205</v>
      </c>
      <c r="F81" s="106">
        <v>8.3333333333333339</v>
      </c>
      <c r="G81" s="106">
        <v>12.5</v>
      </c>
      <c r="H81" s="106">
        <v>9.7835307826762499</v>
      </c>
      <c r="I81" s="106">
        <v>12.865220770789429</v>
      </c>
      <c r="J81" s="106">
        <v>6.1789286713626907</v>
      </c>
      <c r="K81" s="106">
        <v>3.7981804991142205</v>
      </c>
    </row>
    <row r="82" spans="3:11" x14ac:dyDescent="0.35">
      <c r="C82" s="15">
        <v>2023</v>
      </c>
      <c r="D82" s="106">
        <f>'F - Rec. Tests at Dec 31, 2020'!H164</f>
        <v>1.6101418899808099E-2</v>
      </c>
      <c r="F82" s="106">
        <v>0</v>
      </c>
      <c r="G82" s="106">
        <v>4.166666666666667</v>
      </c>
      <c r="H82" s="106">
        <v>7.8491490478617791</v>
      </c>
      <c r="I82" s="106">
        <v>10.281036485317875</v>
      </c>
      <c r="J82" s="106">
        <v>2.02315466197062</v>
      </c>
      <c r="K82" s="106">
        <v>1.6101418899808099E-2</v>
      </c>
    </row>
    <row r="83" spans="3:11" x14ac:dyDescent="0.35">
      <c r="C83" s="15">
        <v>2024</v>
      </c>
      <c r="D83" s="106">
        <f>'F - Rec. Tests at Dec 31, 2020'!I164</f>
        <v>3.870559355264195</v>
      </c>
      <c r="F83" s="106">
        <v>0</v>
      </c>
      <c r="G83" s="106">
        <v>0</v>
      </c>
      <c r="H83" s="106">
        <v>9.3466270037507329</v>
      </c>
      <c r="I83" s="106">
        <v>9.3466270037507329</v>
      </c>
      <c r="J83" s="106">
        <v>0</v>
      </c>
      <c r="K83" s="106">
        <v>3.870559355264195</v>
      </c>
    </row>
    <row r="84" spans="3:11" x14ac:dyDescent="0.35">
      <c r="C84" s="15">
        <v>2025</v>
      </c>
      <c r="D84" s="106">
        <f>'F - Rec. Tests at Dec 31, 2020'!J164</f>
        <v>0</v>
      </c>
      <c r="F84" s="106">
        <v>0</v>
      </c>
      <c r="G84" s="106">
        <v>0</v>
      </c>
      <c r="H84" s="106">
        <v>0</v>
      </c>
      <c r="I84" s="106">
        <v>0</v>
      </c>
      <c r="J84" s="106">
        <v>0</v>
      </c>
      <c r="K84" s="106">
        <v>0</v>
      </c>
    </row>
    <row r="85" spans="3:11" x14ac:dyDescent="0.35">
      <c r="C85" s="15">
        <v>2026</v>
      </c>
      <c r="D85" s="106">
        <f>'F - Rec. Tests at Dec 31, 2020'!K164</f>
        <v>0</v>
      </c>
      <c r="F85" s="106">
        <v>0</v>
      </c>
      <c r="G85" s="106">
        <v>0</v>
      </c>
      <c r="H85" s="106">
        <v>0</v>
      </c>
      <c r="I85" s="106">
        <v>0</v>
      </c>
      <c r="J85" s="106">
        <v>0</v>
      </c>
      <c r="K85" s="106">
        <v>0</v>
      </c>
    </row>
    <row r="86" spans="3:11" x14ac:dyDescent="0.35">
      <c r="C86" t="s">
        <v>4</v>
      </c>
      <c r="D86" s="106">
        <f>SUM(D79:D85)</f>
        <v>14.39709384457843</v>
      </c>
      <c r="F86" s="106">
        <v>16.666666666666668</v>
      </c>
      <c r="G86" s="106">
        <v>29.166666666666668</v>
      </c>
      <c r="H86" s="106">
        <v>36.996170950298342</v>
      </c>
      <c r="I86" s="106">
        <v>47.326217593191373</v>
      </c>
      <c r="J86" s="106">
        <v>8.2020833333333112</v>
      </c>
      <c r="K86" s="106">
        <v>14.39709384457843</v>
      </c>
    </row>
  </sheetData>
  <phoneticPr fontId="10" type="noConversion"/>
  <dataValidations count="1">
    <dataValidation type="list" allowBlank="1" showInputMessage="1" showErrorMessage="1" sqref="D6" xr:uid="{00000000-0002-0000-0000-000000000000}">
      <formula1>$F$7:$K$7</formula1>
    </dataValidation>
  </dataValidations>
  <pageMargins left="0.7" right="0.7" top="0.75" bottom="0.75" header="0.3" footer="0.3"/>
  <pageSetup orientation="portrait" r:id="rId1"/>
  <ignoredErrors>
    <ignoredError sqref="D15"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D212"/>
  <sheetViews>
    <sheetView topLeftCell="A187" zoomScaleNormal="100" workbookViewId="0">
      <selection activeCell="C205" sqref="C205"/>
    </sheetView>
  </sheetViews>
  <sheetFormatPr defaultColWidth="8.90625" defaultRowHeight="14.5" x14ac:dyDescent="0.35"/>
  <cols>
    <col min="1" max="1" width="2.453125" customWidth="1"/>
    <col min="2" max="2" width="22.6328125" customWidth="1"/>
    <col min="11" max="12" width="8.90625" customWidth="1"/>
    <col min="23" max="23" width="43.90625" style="61" bestFit="1" customWidth="1"/>
  </cols>
  <sheetData>
    <row r="1" spans="2:23" x14ac:dyDescent="0.35">
      <c r="B1" s="22" t="s">
        <v>106</v>
      </c>
      <c r="W1" s="22" t="s">
        <v>107</v>
      </c>
    </row>
    <row r="3" spans="2:23" x14ac:dyDescent="0.35">
      <c r="B3" s="1" t="s">
        <v>14</v>
      </c>
    </row>
    <row r="4" spans="2:23" x14ac:dyDescent="0.35">
      <c r="B4" s="1"/>
    </row>
    <row r="5" spans="2:23" x14ac:dyDescent="0.35">
      <c r="B5" s="1"/>
      <c r="C5" t="s">
        <v>137</v>
      </c>
    </row>
    <row r="6" spans="2:23" x14ac:dyDescent="0.35">
      <c r="B6" s="1"/>
      <c r="C6" t="s">
        <v>342</v>
      </c>
    </row>
    <row r="7" spans="2:23" x14ac:dyDescent="0.35">
      <c r="B7" s="1"/>
    </row>
    <row r="8" spans="2:23" x14ac:dyDescent="0.35">
      <c r="C8" s="59" t="s">
        <v>8</v>
      </c>
      <c r="D8" s="38"/>
      <c r="E8" s="38"/>
      <c r="F8" s="114">
        <f>'0 - Inputs and Results'!D8</f>
        <v>50</v>
      </c>
      <c r="G8" s="38" t="s">
        <v>136</v>
      </c>
      <c r="H8" s="38"/>
      <c r="I8" s="38"/>
      <c r="J8" s="38"/>
      <c r="K8" s="38"/>
    </row>
    <row r="9" spans="2:23" x14ac:dyDescent="0.35">
      <c r="C9" s="38"/>
      <c r="D9" s="38" t="s">
        <v>6</v>
      </c>
      <c r="E9" s="38"/>
      <c r="F9" s="38"/>
      <c r="G9" s="38"/>
      <c r="H9" s="38"/>
      <c r="I9" s="38"/>
      <c r="K9" s="115">
        <f>'0 - Inputs and Results'!D9</f>
        <v>0.9</v>
      </c>
    </row>
    <row r="10" spans="2:23" x14ac:dyDescent="0.35">
      <c r="C10" s="38"/>
      <c r="D10" s="38" t="s">
        <v>9</v>
      </c>
      <c r="E10" s="38"/>
      <c r="F10" s="38"/>
      <c r="G10" s="38"/>
      <c r="H10" s="38"/>
      <c r="I10" s="38"/>
      <c r="J10" s="38"/>
      <c r="K10" s="38"/>
    </row>
    <row r="11" spans="2:23" x14ac:dyDescent="0.35">
      <c r="C11" s="38"/>
      <c r="D11" s="38" t="s">
        <v>10</v>
      </c>
      <c r="E11" s="38"/>
      <c r="F11" s="116">
        <f>'0 - Inputs and Results'!D10</f>
        <v>0</v>
      </c>
      <c r="G11" s="38" t="s">
        <v>11</v>
      </c>
      <c r="H11" s="38"/>
      <c r="I11" s="38"/>
      <c r="J11" s="38"/>
      <c r="K11" s="38"/>
    </row>
    <row r="12" spans="2:23" x14ac:dyDescent="0.35">
      <c r="C12" s="38"/>
      <c r="D12" s="38" t="s">
        <v>17</v>
      </c>
      <c r="E12" s="38"/>
      <c r="F12" s="38"/>
      <c r="G12" s="38"/>
      <c r="H12" s="38"/>
      <c r="I12" s="38"/>
      <c r="J12" s="38"/>
      <c r="K12" s="38"/>
    </row>
    <row r="13" spans="2:23" x14ac:dyDescent="0.35">
      <c r="C13" s="38"/>
      <c r="D13" s="38"/>
      <c r="E13" s="38"/>
      <c r="F13" s="38"/>
      <c r="G13" s="38"/>
      <c r="H13" s="38"/>
      <c r="I13" s="38"/>
      <c r="J13" s="38"/>
      <c r="K13" s="38"/>
    </row>
    <row r="14" spans="2:23" x14ac:dyDescent="0.35">
      <c r="C14" s="38" t="s">
        <v>7</v>
      </c>
      <c r="D14" s="38"/>
      <c r="E14" s="38"/>
      <c r="F14" s="38"/>
      <c r="H14" s="115">
        <f>'0 - Inputs and Results'!D11</f>
        <v>0.8</v>
      </c>
      <c r="I14" s="38" t="s">
        <v>5</v>
      </c>
      <c r="J14" s="38"/>
      <c r="K14" s="38"/>
    </row>
    <row r="15" spans="2:23" x14ac:dyDescent="0.35">
      <c r="C15" s="38"/>
      <c r="D15" s="38" t="s">
        <v>355</v>
      </c>
      <c r="E15" s="38"/>
      <c r="F15" s="38"/>
      <c r="G15" s="38"/>
      <c r="H15" s="38"/>
      <c r="I15" s="38"/>
    </row>
    <row r="16" spans="2:23" x14ac:dyDescent="0.35">
      <c r="C16" s="38"/>
      <c r="D16" s="38" t="s">
        <v>19</v>
      </c>
      <c r="E16" s="38"/>
      <c r="F16" s="38"/>
      <c r="G16" s="38"/>
      <c r="H16" s="38"/>
      <c r="I16" s="38"/>
      <c r="J16" s="38"/>
      <c r="K16" s="38"/>
    </row>
    <row r="17" spans="3:12" x14ac:dyDescent="0.35">
      <c r="C17" s="38"/>
      <c r="D17" s="38"/>
      <c r="E17" s="38"/>
      <c r="F17" s="38"/>
      <c r="G17" s="38"/>
      <c r="H17" s="38"/>
      <c r="I17" s="38"/>
      <c r="J17" s="38"/>
      <c r="K17" s="38"/>
    </row>
    <row r="18" spans="3:12" x14ac:dyDescent="0.35">
      <c r="C18" s="38" t="s">
        <v>87</v>
      </c>
      <c r="D18" s="38"/>
      <c r="E18" s="38"/>
      <c r="F18" s="38"/>
      <c r="G18" s="38"/>
      <c r="H18" s="117">
        <f>'0 - Inputs and Results'!D12</f>
        <v>25</v>
      </c>
      <c r="I18" s="38"/>
      <c r="J18" s="38"/>
      <c r="K18" s="38"/>
    </row>
    <row r="19" spans="3:12" x14ac:dyDescent="0.35">
      <c r="C19" s="38"/>
      <c r="D19" s="38" t="s">
        <v>357</v>
      </c>
      <c r="E19" s="38"/>
      <c r="F19" s="38"/>
      <c r="G19" s="38"/>
      <c r="H19" s="38"/>
      <c r="I19" s="38"/>
    </row>
    <row r="20" spans="3:12" x14ac:dyDescent="0.35">
      <c r="C20" s="38"/>
      <c r="D20" s="118">
        <f>'0 - Inputs and Results'!D13</f>
        <v>0.5</v>
      </c>
      <c r="E20" s="38" t="s">
        <v>358</v>
      </c>
      <c r="F20" s="38"/>
      <c r="G20" s="38"/>
      <c r="H20" s="38"/>
      <c r="I20" s="38"/>
      <c r="J20" s="38"/>
      <c r="K20" s="38"/>
    </row>
    <row r="21" spans="3:12" x14ac:dyDescent="0.35">
      <c r="C21" s="38"/>
      <c r="D21" s="118">
        <f>1-D20</f>
        <v>0.5</v>
      </c>
      <c r="E21" s="38" t="s">
        <v>359</v>
      </c>
      <c r="F21" s="38"/>
      <c r="G21" s="38"/>
      <c r="H21" s="38"/>
      <c r="I21" s="38"/>
      <c r="J21" s="38"/>
      <c r="K21" s="38"/>
    </row>
    <row r="22" spans="3:12" x14ac:dyDescent="0.35">
      <c r="C22" s="38"/>
      <c r="D22" s="118">
        <f>'0 - Inputs and Results'!D15</f>
        <v>0.25</v>
      </c>
      <c r="E22" s="38" t="s">
        <v>360</v>
      </c>
      <c r="F22" s="38"/>
      <c r="G22" s="38"/>
      <c r="H22" s="38"/>
      <c r="I22" s="38"/>
      <c r="J22" s="38"/>
      <c r="K22" s="38"/>
    </row>
    <row r="23" spans="3:12" x14ac:dyDescent="0.35">
      <c r="C23" s="38"/>
      <c r="D23" s="118">
        <f>1-D22</f>
        <v>0.75</v>
      </c>
      <c r="E23" s="38" t="s">
        <v>361</v>
      </c>
      <c r="F23" s="38"/>
      <c r="G23" s="38"/>
      <c r="H23" s="38"/>
      <c r="I23" s="38"/>
      <c r="J23" s="38"/>
      <c r="K23" s="38"/>
    </row>
    <row r="24" spans="3:12" x14ac:dyDescent="0.35">
      <c r="C24" s="38"/>
      <c r="D24" s="38" t="s">
        <v>356</v>
      </c>
      <c r="E24" s="38"/>
      <c r="F24" s="38"/>
      <c r="G24" s="38"/>
      <c r="H24" s="38"/>
      <c r="I24" s="38"/>
    </row>
    <row r="25" spans="3:12" x14ac:dyDescent="0.35">
      <c r="C25" s="38"/>
      <c r="D25" s="38" t="s">
        <v>362</v>
      </c>
      <c r="E25" s="38"/>
      <c r="F25" s="38"/>
      <c r="G25" s="38"/>
      <c r="H25" s="38"/>
      <c r="I25" s="38"/>
      <c r="J25" s="38"/>
      <c r="K25" s="38"/>
    </row>
    <row r="26" spans="3:12" x14ac:dyDescent="0.35">
      <c r="C26" s="38"/>
      <c r="D26" s="38" t="s">
        <v>363</v>
      </c>
      <c r="E26" s="38"/>
      <c r="F26" s="38"/>
      <c r="G26" s="38"/>
      <c r="H26" s="38"/>
      <c r="I26" s="38"/>
      <c r="J26" s="38"/>
      <c r="K26" s="38"/>
    </row>
    <row r="27" spans="3:12" x14ac:dyDescent="0.35">
      <c r="C27" s="38"/>
      <c r="D27" s="38"/>
      <c r="E27" s="38"/>
      <c r="F27" s="38"/>
      <c r="G27" s="38"/>
      <c r="H27" s="38"/>
      <c r="I27" s="38"/>
      <c r="J27" s="38"/>
      <c r="K27" s="38"/>
    </row>
    <row r="28" spans="3:12" x14ac:dyDescent="0.35">
      <c r="C28" s="38" t="s">
        <v>18</v>
      </c>
      <c r="D28" s="38"/>
      <c r="E28" s="38"/>
      <c r="F28" s="38"/>
      <c r="G28" s="38"/>
      <c r="H28" s="119">
        <f>'0 - Inputs and Results'!D17</f>
        <v>30</v>
      </c>
      <c r="I28" s="38"/>
      <c r="J28" s="38"/>
      <c r="K28" s="38"/>
    </row>
    <row r="29" spans="3:12" x14ac:dyDescent="0.35">
      <c r="D29" t="s">
        <v>341</v>
      </c>
    </row>
    <row r="30" spans="3:12" x14ac:dyDescent="0.35">
      <c r="D30" t="s">
        <v>29</v>
      </c>
    </row>
    <row r="31" spans="3:12" x14ac:dyDescent="0.35">
      <c r="D31" t="s">
        <v>343</v>
      </c>
      <c r="K31" s="120">
        <v>6</v>
      </c>
      <c r="L31" t="s">
        <v>31</v>
      </c>
    </row>
    <row r="33" spans="3:23" x14ac:dyDescent="0.35">
      <c r="C33" t="s">
        <v>12</v>
      </c>
    </row>
    <row r="34" spans="3:23" x14ac:dyDescent="0.35">
      <c r="G34" s="126" t="s">
        <v>92</v>
      </c>
      <c r="H34" s="126"/>
      <c r="I34" s="126"/>
      <c r="J34" s="126"/>
      <c r="K34" s="126"/>
      <c r="L34" s="126"/>
      <c r="M34" s="126"/>
    </row>
    <row r="35" spans="3:23" x14ac:dyDescent="0.35">
      <c r="G35" s="5" t="s">
        <v>21</v>
      </c>
      <c r="H35" s="20" t="s">
        <v>22</v>
      </c>
      <c r="I35" s="20" t="s">
        <v>23</v>
      </c>
      <c r="J35" s="20" t="s">
        <v>24</v>
      </c>
      <c r="K35" s="20" t="s">
        <v>25</v>
      </c>
      <c r="L35" s="20" t="s">
        <v>26</v>
      </c>
      <c r="M35" s="20" t="s">
        <v>27</v>
      </c>
    </row>
    <row r="36" spans="3:23" x14ac:dyDescent="0.35">
      <c r="G36" s="121">
        <f>'0 - Inputs and Results'!D19</f>
        <v>0.02</v>
      </c>
      <c r="H36" s="121">
        <f>'0 - Inputs and Results'!D20</f>
        <v>0.02</v>
      </c>
      <c r="I36" s="121">
        <f>'0 - Inputs and Results'!D21</f>
        <v>0.02</v>
      </c>
      <c r="J36" s="121">
        <f>'0 - Inputs and Results'!D22</f>
        <v>0.02</v>
      </c>
      <c r="K36" s="121">
        <f>'0 - Inputs and Results'!D23</f>
        <v>0.02</v>
      </c>
      <c r="L36" s="121">
        <f>'0 - Inputs and Results'!D24</f>
        <v>0.02</v>
      </c>
      <c r="M36" s="121">
        <f>'0 - Inputs and Results'!D25</f>
        <v>0.02</v>
      </c>
    </row>
    <row r="38" spans="3:23" x14ac:dyDescent="0.35">
      <c r="D38" t="s">
        <v>16</v>
      </c>
    </row>
    <row r="39" spans="3:23" x14ac:dyDescent="0.35">
      <c r="D39" t="s">
        <v>28</v>
      </c>
    </row>
    <row r="41" spans="3:23" x14ac:dyDescent="0.35">
      <c r="C41" t="s">
        <v>20</v>
      </c>
    </row>
    <row r="42" spans="3:23" x14ac:dyDescent="0.35">
      <c r="D42" t="s">
        <v>344</v>
      </c>
    </row>
    <row r="44" spans="3:23" x14ac:dyDescent="0.35">
      <c r="C44" s="1" t="s">
        <v>43</v>
      </c>
      <c r="D44" s="1"/>
      <c r="E44" s="1"/>
      <c r="F44" s="1"/>
      <c r="G44" s="1"/>
      <c r="H44" s="1"/>
      <c r="I44" s="1"/>
      <c r="J44" s="1"/>
      <c r="K44" s="1"/>
      <c r="L44" s="1"/>
      <c r="M44" s="1"/>
    </row>
    <row r="45" spans="3:23" x14ac:dyDescent="0.35">
      <c r="C45" s="1" t="s">
        <v>44</v>
      </c>
      <c r="D45" s="1"/>
      <c r="E45" s="1"/>
      <c r="F45" s="1"/>
      <c r="G45" s="1"/>
      <c r="H45" s="1"/>
      <c r="I45" s="1"/>
      <c r="J45" s="1"/>
      <c r="K45" s="1"/>
      <c r="L45" s="1"/>
      <c r="M45" s="1"/>
    </row>
    <row r="46" spans="3:23" x14ac:dyDescent="0.35">
      <c r="C46" s="1"/>
      <c r="D46" s="1"/>
      <c r="E46" s="1"/>
      <c r="F46" s="1"/>
      <c r="G46" s="1"/>
      <c r="H46" s="1"/>
      <c r="I46" s="1"/>
      <c r="J46" s="1"/>
      <c r="K46" s="1"/>
      <c r="L46" s="1"/>
      <c r="M46" s="1"/>
    </row>
    <row r="47" spans="3:23" x14ac:dyDescent="0.35">
      <c r="C47" s="1" t="s">
        <v>138</v>
      </c>
      <c r="D47" s="1"/>
      <c r="E47" s="1"/>
      <c r="F47" s="1"/>
      <c r="G47" s="1"/>
      <c r="H47" s="1"/>
      <c r="I47" s="1"/>
      <c r="J47" s="1"/>
      <c r="K47" s="1"/>
      <c r="L47" s="1"/>
      <c r="M47" s="1"/>
    </row>
    <row r="48" spans="3:23" s="28" customFormat="1" x14ac:dyDescent="0.35">
      <c r="W48" s="63"/>
    </row>
    <row r="49" spans="2:23" x14ac:dyDescent="0.35">
      <c r="B49" s="1" t="s">
        <v>32</v>
      </c>
    </row>
    <row r="51" spans="2:23" s="2" customFormat="1" x14ac:dyDescent="0.35">
      <c r="C51" s="127" t="s">
        <v>372</v>
      </c>
      <c r="D51" s="127"/>
      <c r="E51" s="127"/>
      <c r="F51" s="127"/>
      <c r="G51" s="127"/>
      <c r="H51" s="127"/>
      <c r="I51" s="127"/>
      <c r="J51" s="127"/>
      <c r="K51" s="3"/>
      <c r="L51" s="3"/>
      <c r="M51" s="3"/>
      <c r="W51" s="62"/>
    </row>
    <row r="52" spans="2:23" s="2" customFormat="1" x14ac:dyDescent="0.35">
      <c r="C52" s="4" t="s">
        <v>110</v>
      </c>
      <c r="D52" s="126" t="s">
        <v>0</v>
      </c>
      <c r="E52" s="126"/>
      <c r="F52" s="126"/>
      <c r="G52" s="126"/>
      <c r="H52" s="126"/>
      <c r="I52" s="126"/>
      <c r="J52" s="126"/>
      <c r="W52" s="62"/>
    </row>
    <row r="53" spans="2:23" s="2" customFormat="1" x14ac:dyDescent="0.35">
      <c r="C53" s="4" t="s">
        <v>1</v>
      </c>
      <c r="D53" s="5">
        <v>2020</v>
      </c>
      <c r="E53" s="5">
        <v>2021</v>
      </c>
      <c r="F53" s="5">
        <v>2022</v>
      </c>
      <c r="G53" s="5">
        <v>2023</v>
      </c>
      <c r="H53" s="5">
        <v>2024</v>
      </c>
      <c r="I53" s="5">
        <v>2025</v>
      </c>
      <c r="J53" s="5">
        <v>2026</v>
      </c>
      <c r="K53" s="6"/>
      <c r="L53" s="6"/>
      <c r="M53" s="6"/>
      <c r="W53" s="62"/>
    </row>
    <row r="54" spans="2:23" s="2" customFormat="1" x14ac:dyDescent="0.35">
      <c r="C54" s="4">
        <f>IF(F11=0,2020,2019)</f>
        <v>2020</v>
      </c>
      <c r="D54" s="6" t="s">
        <v>2</v>
      </c>
      <c r="E54" s="6" t="s">
        <v>3</v>
      </c>
      <c r="F54" s="6" t="s">
        <v>3</v>
      </c>
      <c r="G54" s="6" t="s">
        <v>3</v>
      </c>
      <c r="H54" s="6" t="s">
        <v>3</v>
      </c>
      <c r="I54" s="6" t="s">
        <v>3</v>
      </c>
      <c r="J54" s="6" t="s">
        <v>3</v>
      </c>
      <c r="K54" s="6"/>
      <c r="L54" s="6"/>
      <c r="M54" s="6"/>
      <c r="W54" s="62"/>
    </row>
    <row r="55" spans="2:23" s="2" customFormat="1" x14ac:dyDescent="0.35">
      <c r="C55" s="4">
        <f>C54+1</f>
        <v>2021</v>
      </c>
      <c r="E55" s="6" t="s">
        <v>2</v>
      </c>
      <c r="F55" s="6" t="s">
        <v>3</v>
      </c>
      <c r="G55" s="6" t="s">
        <v>3</v>
      </c>
      <c r="H55" s="6" t="s">
        <v>3</v>
      </c>
      <c r="I55" s="6" t="s">
        <v>3</v>
      </c>
      <c r="J55" s="6" t="s">
        <v>3</v>
      </c>
      <c r="K55" s="6"/>
      <c r="L55" s="6"/>
      <c r="M55" s="6"/>
      <c r="W55" s="62"/>
    </row>
    <row r="56" spans="2:23" s="2" customFormat="1" x14ac:dyDescent="0.35">
      <c r="C56" s="4">
        <f t="shared" ref="C56:C58" si="0">C55+1</f>
        <v>2022</v>
      </c>
      <c r="F56" s="6" t="s">
        <v>2</v>
      </c>
      <c r="G56" s="6" t="s">
        <v>3</v>
      </c>
      <c r="H56" s="6" t="s">
        <v>3</v>
      </c>
      <c r="I56" s="6" t="s">
        <v>3</v>
      </c>
      <c r="J56" s="6" t="s">
        <v>3</v>
      </c>
      <c r="K56" s="6"/>
      <c r="L56" s="6"/>
      <c r="M56" s="6"/>
      <c r="W56" s="62"/>
    </row>
    <row r="57" spans="2:23" s="2" customFormat="1" x14ac:dyDescent="0.35">
      <c r="C57" s="4">
        <f t="shared" si="0"/>
        <v>2023</v>
      </c>
      <c r="G57" s="6" t="s">
        <v>2</v>
      </c>
      <c r="H57" s="6" t="s">
        <v>3</v>
      </c>
      <c r="I57" s="6" t="s">
        <v>3</v>
      </c>
      <c r="J57" s="6" t="s">
        <v>3</v>
      </c>
      <c r="K57" s="6"/>
      <c r="L57" s="6"/>
      <c r="M57" s="6"/>
      <c r="W57" s="62"/>
    </row>
    <row r="58" spans="2:23" s="2" customFormat="1" x14ac:dyDescent="0.35">
      <c r="C58" s="4">
        <f t="shared" si="0"/>
        <v>2024</v>
      </c>
      <c r="H58" s="6" t="s">
        <v>2</v>
      </c>
      <c r="I58" s="6" t="s">
        <v>3</v>
      </c>
      <c r="J58" s="6" t="s">
        <v>3</v>
      </c>
      <c r="K58" s="6"/>
      <c r="L58" s="6"/>
      <c r="M58" s="6"/>
      <c r="W58" s="62"/>
    </row>
    <row r="59" spans="2:23" s="64" customFormat="1" x14ac:dyDescent="0.35">
      <c r="I59" s="65"/>
      <c r="W59" s="66"/>
    </row>
    <row r="60" spans="2:23" s="72" customFormat="1" x14ac:dyDescent="0.35">
      <c r="B60" s="72" t="s">
        <v>33</v>
      </c>
      <c r="C60" s="71" t="s">
        <v>373</v>
      </c>
      <c r="K60" s="73"/>
      <c r="L60" s="73"/>
      <c r="M60" s="71" t="s">
        <v>374</v>
      </c>
      <c r="W60" s="77"/>
    </row>
    <row r="61" spans="2:23" s="2" customFormat="1" x14ac:dyDescent="0.35">
      <c r="C61" s="4" t="s">
        <v>150</v>
      </c>
      <c r="D61" s="126" t="s">
        <v>0</v>
      </c>
      <c r="E61" s="126"/>
      <c r="F61" s="126"/>
      <c r="G61" s="126"/>
      <c r="H61" s="126"/>
      <c r="I61" s="126"/>
      <c r="J61" s="126"/>
      <c r="K61" s="7"/>
      <c r="L61" s="7"/>
      <c r="M61" s="4" t="s">
        <v>150</v>
      </c>
      <c r="N61" s="126" t="s">
        <v>0</v>
      </c>
      <c r="O61" s="126"/>
      <c r="P61" s="126"/>
      <c r="Q61" s="126"/>
      <c r="R61" s="126"/>
      <c r="S61" s="126"/>
      <c r="T61" s="126"/>
      <c r="W61" s="62"/>
    </row>
    <row r="62" spans="2:23" s="2" customFormat="1" x14ac:dyDescent="0.35">
      <c r="C62" s="4" t="s">
        <v>1</v>
      </c>
      <c r="D62" s="5">
        <v>2020</v>
      </c>
      <c r="E62" s="5">
        <v>2021</v>
      </c>
      <c r="F62" s="5">
        <v>2022</v>
      </c>
      <c r="G62" s="5">
        <v>2023</v>
      </c>
      <c r="H62" s="5">
        <v>2024</v>
      </c>
      <c r="I62" s="5">
        <v>2025</v>
      </c>
      <c r="J62" s="5">
        <v>2026</v>
      </c>
      <c r="K62" s="7"/>
      <c r="L62" s="7"/>
      <c r="M62" s="4" t="s">
        <v>1</v>
      </c>
      <c r="N62" s="5">
        <v>2020</v>
      </c>
      <c r="O62" s="5">
        <v>2021</v>
      </c>
      <c r="P62" s="5">
        <v>2022</v>
      </c>
      <c r="Q62" s="5">
        <v>2023</v>
      </c>
      <c r="R62" s="5">
        <v>2024</v>
      </c>
      <c r="S62" s="5">
        <v>2025</v>
      </c>
      <c r="T62" s="5">
        <v>2026</v>
      </c>
      <c r="W62" s="62" t="s">
        <v>111</v>
      </c>
    </row>
    <row r="63" spans="2:23" s="2" customFormat="1" x14ac:dyDescent="0.35">
      <c r="C63" s="4">
        <f>C73</f>
        <v>2020</v>
      </c>
      <c r="D63" s="7">
        <f>F8</f>
        <v>50</v>
      </c>
      <c r="E63" s="7">
        <f t="shared" ref="E63:J63" si="1">D63*$K$9</f>
        <v>45</v>
      </c>
      <c r="F63" s="7">
        <f t="shared" si="1"/>
        <v>40.5</v>
      </c>
      <c r="G63" s="7">
        <f t="shared" si="1"/>
        <v>36.450000000000003</v>
      </c>
      <c r="H63" s="7">
        <f t="shared" si="1"/>
        <v>32.805000000000007</v>
      </c>
      <c r="I63" s="7">
        <f t="shared" si="1"/>
        <v>29.524500000000007</v>
      </c>
      <c r="J63" s="7">
        <f t="shared" si="1"/>
        <v>26.572050000000008</v>
      </c>
      <c r="K63" s="7"/>
      <c r="L63" s="7"/>
      <c r="M63" s="4">
        <f>M73</f>
        <v>2020</v>
      </c>
      <c r="N63" s="7">
        <f>D63</f>
        <v>50</v>
      </c>
      <c r="O63" s="7">
        <f>E63/(1+$G$36)</f>
        <v>44.117647058823529</v>
      </c>
      <c r="P63" s="7">
        <f>F63/(1+$H$36)^2</f>
        <v>38.927335640138409</v>
      </c>
      <c r="Q63" s="7">
        <f>G63/(1+$I$36)^3</f>
        <v>34.347649094239777</v>
      </c>
      <c r="R63" s="7">
        <f>H63/(1+$J$36)^4</f>
        <v>30.306749200799807</v>
      </c>
      <c r="S63" s="7">
        <f>I63/(1+$K$36)^5</f>
        <v>26.741249294823358</v>
      </c>
      <c r="T63" s="7">
        <f>J63/(1+$L$36)^6</f>
        <v>23.595219966020611</v>
      </c>
      <c r="W63" s="62" t="s">
        <v>345</v>
      </c>
    </row>
    <row r="64" spans="2:23" s="2" customFormat="1" x14ac:dyDescent="0.35">
      <c r="C64" s="4">
        <f>C74</f>
        <v>2021</v>
      </c>
      <c r="D64" s="18"/>
      <c r="E64" s="7">
        <f>F8</f>
        <v>50</v>
      </c>
      <c r="F64" s="7">
        <f>E64*$K$9</f>
        <v>45</v>
      </c>
      <c r="G64" s="7">
        <f>F64*$K$9</f>
        <v>40.5</v>
      </c>
      <c r="H64" s="7">
        <f>G64*$K$9</f>
        <v>36.450000000000003</v>
      </c>
      <c r="I64" s="7">
        <f>H64*$K$9</f>
        <v>32.805000000000007</v>
      </c>
      <c r="J64" s="7">
        <f>I64*$K$9</f>
        <v>29.524500000000007</v>
      </c>
      <c r="K64" s="7"/>
      <c r="L64" s="7"/>
      <c r="M64" s="4">
        <f>M74</f>
        <v>2021</v>
      </c>
      <c r="N64" s="7"/>
      <c r="O64" s="7">
        <f t="shared" ref="O64" si="2">E64/(1+$G$36)</f>
        <v>49.019607843137251</v>
      </c>
      <c r="P64" s="7">
        <f t="shared" ref="P64:P65" si="3">F64/(1+$H$36)^2</f>
        <v>43.252595155709344</v>
      </c>
      <c r="Q64" s="7">
        <f t="shared" ref="Q64:Q66" si="4">G64/(1+$I$36)^3</f>
        <v>38.164054549155303</v>
      </c>
      <c r="R64" s="7">
        <f t="shared" ref="R64:R67" si="5">H64/(1+$J$36)^4</f>
        <v>33.674165778666449</v>
      </c>
      <c r="S64" s="7">
        <f t="shared" ref="S64:S67" si="6">I64/(1+$K$36)^5</f>
        <v>29.712499216470398</v>
      </c>
      <c r="T64" s="7">
        <f t="shared" ref="T64:T67" si="7">J64/(1+$L$36)^6</f>
        <v>26.216911073356233</v>
      </c>
      <c r="W64" s="62"/>
    </row>
    <row r="65" spans="2:23" s="2" customFormat="1" x14ac:dyDescent="0.35">
      <c r="C65" s="4">
        <f>C75</f>
        <v>2022</v>
      </c>
      <c r="D65" s="18"/>
      <c r="E65" s="7"/>
      <c r="F65" s="7">
        <f>F8</f>
        <v>50</v>
      </c>
      <c r="G65" s="7">
        <f>F65*$K$9</f>
        <v>45</v>
      </c>
      <c r="H65" s="7">
        <f>G65*$K$9</f>
        <v>40.5</v>
      </c>
      <c r="I65" s="7">
        <f>H65*$K$9</f>
        <v>36.450000000000003</v>
      </c>
      <c r="J65" s="7">
        <f>I65*$K$9</f>
        <v>32.805000000000007</v>
      </c>
      <c r="K65" s="7"/>
      <c r="L65" s="7"/>
      <c r="M65" s="4">
        <f>M75</f>
        <v>2022</v>
      </c>
      <c r="N65" s="7"/>
      <c r="O65" s="7"/>
      <c r="P65" s="7">
        <f t="shared" si="3"/>
        <v>48.058439061899271</v>
      </c>
      <c r="Q65" s="7">
        <f t="shared" si="4"/>
        <v>42.404505054617005</v>
      </c>
      <c r="R65" s="7">
        <f t="shared" si="5"/>
        <v>37.415739754073826</v>
      </c>
      <c r="S65" s="7">
        <f t="shared" si="6"/>
        <v>33.013888018300435</v>
      </c>
      <c r="T65" s="7">
        <f t="shared" si="7"/>
        <v>29.129901192618036</v>
      </c>
      <c r="W65" s="62" t="s">
        <v>112</v>
      </c>
    </row>
    <row r="66" spans="2:23" s="2" customFormat="1" x14ac:dyDescent="0.35">
      <c r="C66" s="4">
        <f>C76</f>
        <v>2023</v>
      </c>
      <c r="D66" s="18"/>
      <c r="E66" s="7"/>
      <c r="F66" s="7"/>
      <c r="G66" s="7">
        <f>F8</f>
        <v>50</v>
      </c>
      <c r="H66" s="7">
        <f>G66*$K$9</f>
        <v>45</v>
      </c>
      <c r="I66" s="7">
        <f>H66*$K$9</f>
        <v>40.5</v>
      </c>
      <c r="J66" s="7">
        <f>I66*$K$9</f>
        <v>36.450000000000003</v>
      </c>
      <c r="K66" s="7"/>
      <c r="L66" s="7"/>
      <c r="M66" s="4">
        <f>M76</f>
        <v>2023</v>
      </c>
      <c r="N66" s="7"/>
      <c r="O66" s="7"/>
      <c r="P66" s="7"/>
      <c r="Q66" s="7">
        <f t="shared" si="4"/>
        <v>47.116116727352228</v>
      </c>
      <c r="R66" s="7">
        <f t="shared" si="5"/>
        <v>41.573044171193139</v>
      </c>
      <c r="S66" s="7">
        <f t="shared" si="6"/>
        <v>36.682097798111592</v>
      </c>
      <c r="T66" s="7">
        <f t="shared" si="7"/>
        <v>32.366556880686701</v>
      </c>
      <c r="W66" s="62" t="s">
        <v>346</v>
      </c>
    </row>
    <row r="67" spans="2:23" s="2" customFormat="1" x14ac:dyDescent="0.35">
      <c r="C67" s="4">
        <f>C77</f>
        <v>2024</v>
      </c>
      <c r="D67" s="18"/>
      <c r="E67" s="7"/>
      <c r="F67" s="7"/>
      <c r="G67" s="7"/>
      <c r="H67" s="7">
        <f>F8</f>
        <v>50</v>
      </c>
      <c r="I67" s="7">
        <f>H67*$K$9</f>
        <v>45</v>
      </c>
      <c r="J67" s="7">
        <f>I67*$K$9</f>
        <v>40.5</v>
      </c>
      <c r="K67" s="7"/>
      <c r="L67" s="7"/>
      <c r="M67" s="4">
        <f>M77</f>
        <v>2024</v>
      </c>
      <c r="N67" s="7"/>
      <c r="O67" s="7"/>
      <c r="P67" s="7"/>
      <c r="Q67" s="7"/>
      <c r="R67" s="7">
        <f t="shared" si="5"/>
        <v>46.192271301325711</v>
      </c>
      <c r="S67" s="7">
        <f t="shared" si="6"/>
        <v>40.757886442346212</v>
      </c>
      <c r="T67" s="7">
        <f t="shared" si="7"/>
        <v>35.962840978540775</v>
      </c>
      <c r="W67" s="62"/>
    </row>
    <row r="68" spans="2:23" s="2" customFormat="1" x14ac:dyDescent="0.35">
      <c r="C68" s="5" t="s">
        <v>4</v>
      </c>
      <c r="D68" s="8">
        <f t="shared" ref="D68:J68" si="8">SUM(D63:D67)</f>
        <v>50</v>
      </c>
      <c r="E68" s="8">
        <f t="shared" si="8"/>
        <v>95</v>
      </c>
      <c r="F68" s="8">
        <f t="shared" si="8"/>
        <v>135.5</v>
      </c>
      <c r="G68" s="8">
        <f t="shared" si="8"/>
        <v>171.95</v>
      </c>
      <c r="H68" s="8">
        <f t="shared" si="8"/>
        <v>204.755</v>
      </c>
      <c r="I68" s="8">
        <f t="shared" si="8"/>
        <v>184.27950000000001</v>
      </c>
      <c r="J68" s="8">
        <f t="shared" si="8"/>
        <v>165.85155000000003</v>
      </c>
      <c r="K68" s="7"/>
      <c r="L68" s="7"/>
      <c r="M68" s="5" t="s">
        <v>4</v>
      </c>
      <c r="N68" s="8">
        <f t="shared" ref="N68:T68" si="9">SUM(N63:N67)</f>
        <v>50</v>
      </c>
      <c r="O68" s="8">
        <f t="shared" si="9"/>
        <v>93.137254901960773</v>
      </c>
      <c r="P68" s="8">
        <f t="shared" si="9"/>
        <v>130.23836985774702</v>
      </c>
      <c r="Q68" s="8">
        <f t="shared" si="9"/>
        <v>162.03232542536432</v>
      </c>
      <c r="R68" s="8">
        <f t="shared" si="9"/>
        <v>189.16197020605895</v>
      </c>
      <c r="S68" s="8">
        <f t="shared" si="9"/>
        <v>166.90762077005198</v>
      </c>
      <c r="T68" s="8">
        <f t="shared" si="9"/>
        <v>147.27143009122236</v>
      </c>
      <c r="W68" s="62"/>
    </row>
    <row r="69" spans="2:23" s="64" customFormat="1" x14ac:dyDescent="0.35">
      <c r="W69" s="66"/>
    </row>
    <row r="70" spans="2:23" s="72" customFormat="1" x14ac:dyDescent="0.35">
      <c r="B70" s="72" t="s">
        <v>34</v>
      </c>
      <c r="C70" s="71" t="s">
        <v>375</v>
      </c>
      <c r="M70" s="71" t="s">
        <v>376</v>
      </c>
      <c r="W70" s="77"/>
    </row>
    <row r="71" spans="2:23" s="2" customFormat="1" x14ac:dyDescent="0.35">
      <c r="C71" s="4" t="s">
        <v>150</v>
      </c>
      <c r="D71" s="126" t="s">
        <v>0</v>
      </c>
      <c r="E71" s="126"/>
      <c r="F71" s="126"/>
      <c r="G71" s="126"/>
      <c r="H71" s="126"/>
      <c r="I71" s="126"/>
      <c r="J71" s="126"/>
      <c r="M71" s="4" t="s">
        <v>150</v>
      </c>
      <c r="N71" s="126" t="s">
        <v>0</v>
      </c>
      <c r="O71" s="126"/>
      <c r="P71" s="126"/>
      <c r="Q71" s="126"/>
      <c r="R71" s="126"/>
      <c r="S71" s="126"/>
      <c r="T71" s="126"/>
      <c r="W71" s="62"/>
    </row>
    <row r="72" spans="2:23" s="2" customFormat="1" x14ac:dyDescent="0.35">
      <c r="C72" s="4" t="s">
        <v>1</v>
      </c>
      <c r="D72" s="5">
        <v>2020</v>
      </c>
      <c r="E72" s="5">
        <v>2021</v>
      </c>
      <c r="F72" s="5">
        <v>2022</v>
      </c>
      <c r="G72" s="5">
        <v>2023</v>
      </c>
      <c r="H72" s="5">
        <v>2024</v>
      </c>
      <c r="I72" s="5">
        <v>2025</v>
      </c>
      <c r="J72" s="5">
        <v>2026</v>
      </c>
      <c r="K72" s="6"/>
      <c r="L72" s="6"/>
      <c r="M72" s="4" t="s">
        <v>1</v>
      </c>
      <c r="N72" s="5">
        <v>2020</v>
      </c>
      <c r="O72" s="5">
        <v>2021</v>
      </c>
      <c r="P72" s="5">
        <v>2022</v>
      </c>
      <c r="Q72" s="5">
        <v>2023</v>
      </c>
      <c r="R72" s="5">
        <v>2024</v>
      </c>
      <c r="S72" s="5">
        <v>2025</v>
      </c>
      <c r="T72" s="5">
        <v>2026</v>
      </c>
      <c r="W72" s="62" t="s">
        <v>113</v>
      </c>
    </row>
    <row r="73" spans="2:23" s="2" customFormat="1" x14ac:dyDescent="0.35">
      <c r="C73" s="4">
        <f>C54</f>
        <v>2020</v>
      </c>
      <c r="D73" s="7">
        <f t="shared" ref="D73:J73" si="10">D63*$H$14</f>
        <v>40</v>
      </c>
      <c r="E73" s="7">
        <f t="shared" si="10"/>
        <v>36</v>
      </c>
      <c r="F73" s="7">
        <f t="shared" si="10"/>
        <v>32.4</v>
      </c>
      <c r="G73" s="7">
        <f t="shared" si="10"/>
        <v>29.160000000000004</v>
      </c>
      <c r="H73" s="7">
        <f t="shared" si="10"/>
        <v>26.244000000000007</v>
      </c>
      <c r="I73" s="7">
        <f t="shared" si="10"/>
        <v>23.619600000000005</v>
      </c>
      <c r="J73" s="7">
        <f t="shared" si="10"/>
        <v>21.257640000000009</v>
      </c>
      <c r="K73" s="7"/>
      <c r="L73" s="7"/>
      <c r="M73" s="4">
        <f>C73</f>
        <v>2020</v>
      </c>
      <c r="N73" s="7">
        <f>D73/(1+$G$36)^0.5</f>
        <v>39.605901719066971</v>
      </c>
      <c r="O73" s="7">
        <f>E73/(1+$H$36)^1.5</f>
        <v>34.946383869764972</v>
      </c>
      <c r="P73" s="7">
        <f>F73/(1+$I$36)^2.5</f>
        <v>30.835044590969094</v>
      </c>
      <c r="Q73" s="7">
        <f>G73/(1+$J$36)^3.5</f>
        <v>27.207392286149208</v>
      </c>
      <c r="R73" s="7">
        <f>H73/(1+$K$36)^4.5</f>
        <v>24.006522605425772</v>
      </c>
      <c r="S73" s="7">
        <f>I73/(1+$L$36)^5.5</f>
        <v>21.182225828316856</v>
      </c>
      <c r="T73" s="7">
        <f>J73/(1+$M$36)^6.5</f>
        <v>18.690199260279581</v>
      </c>
      <c r="W73" s="62" t="s">
        <v>108</v>
      </c>
    </row>
    <row r="74" spans="2:23" s="2" customFormat="1" x14ac:dyDescent="0.35">
      <c r="C74" s="4">
        <f>C55</f>
        <v>2021</v>
      </c>
      <c r="D74" s="18"/>
      <c r="E74" s="7">
        <f t="shared" ref="E74:J74" si="11">E64*$H$14</f>
        <v>40</v>
      </c>
      <c r="F74" s="7">
        <f t="shared" si="11"/>
        <v>36</v>
      </c>
      <c r="G74" s="7">
        <f t="shared" si="11"/>
        <v>32.4</v>
      </c>
      <c r="H74" s="7">
        <f t="shared" si="11"/>
        <v>29.160000000000004</v>
      </c>
      <c r="I74" s="7">
        <f t="shared" si="11"/>
        <v>26.244000000000007</v>
      </c>
      <c r="J74" s="7">
        <f t="shared" si="11"/>
        <v>23.619600000000005</v>
      </c>
      <c r="K74" s="7"/>
      <c r="L74" s="7"/>
      <c r="M74" s="4">
        <f t="shared" ref="M74:M77" si="12">C74</f>
        <v>2021</v>
      </c>
      <c r="N74" s="18"/>
      <c r="O74" s="7">
        <f t="shared" ref="O74" si="13">E74/(1+$H$36)^1.5</f>
        <v>38.829315410849972</v>
      </c>
      <c r="P74" s="7">
        <f t="shared" ref="P74:P75" si="14">F74/(1+$I$36)^2.5</f>
        <v>34.261160656632327</v>
      </c>
      <c r="Q74" s="7">
        <f t="shared" ref="Q74:Q76" si="15">G74/(1+$J$36)^3.5</f>
        <v>30.230435873499115</v>
      </c>
      <c r="R74" s="7">
        <f t="shared" ref="R74:R77" si="16">H74/(1+$K$36)^4.5</f>
        <v>26.673914006028632</v>
      </c>
      <c r="S74" s="7">
        <f t="shared" ref="S74:S77" si="17">I74/(1+$L$36)^5.5</f>
        <v>23.53580647590762</v>
      </c>
      <c r="T74" s="7">
        <f t="shared" ref="T74:T77" si="18">J74/(1+$M$36)^6.5</f>
        <v>20.766888066977309</v>
      </c>
      <c r="W74" s="62"/>
    </row>
    <row r="75" spans="2:23" s="2" customFormat="1" x14ac:dyDescent="0.35">
      <c r="C75" s="4">
        <f>C56</f>
        <v>2022</v>
      </c>
      <c r="D75" s="18"/>
      <c r="E75" s="7"/>
      <c r="F75" s="7">
        <f>F65*$H$14</f>
        <v>40</v>
      </c>
      <c r="G75" s="7">
        <f>G65*$H$14</f>
        <v>36</v>
      </c>
      <c r="H75" s="7">
        <f>H65*$H$14</f>
        <v>32.4</v>
      </c>
      <c r="I75" s="7">
        <f>I65*$H$14</f>
        <v>29.160000000000004</v>
      </c>
      <c r="J75" s="7">
        <f>J65*$H$14</f>
        <v>26.244000000000007</v>
      </c>
      <c r="K75" s="7"/>
      <c r="L75" s="7"/>
      <c r="M75" s="4">
        <f t="shared" si="12"/>
        <v>2022</v>
      </c>
      <c r="N75" s="18"/>
      <c r="O75" s="7"/>
      <c r="P75" s="7">
        <f t="shared" si="14"/>
        <v>38.067956285147034</v>
      </c>
      <c r="Q75" s="7">
        <f t="shared" si="15"/>
        <v>33.589373192776797</v>
      </c>
      <c r="R75" s="7">
        <f t="shared" si="16"/>
        <v>29.637682228920699</v>
      </c>
      <c r="S75" s="7">
        <f t="shared" si="17"/>
        <v>26.150896084341795</v>
      </c>
      <c r="T75" s="7">
        <f t="shared" si="18"/>
        <v>23.074320074419234</v>
      </c>
      <c r="W75" s="62" t="s">
        <v>114</v>
      </c>
    </row>
    <row r="76" spans="2:23" s="2" customFormat="1" x14ac:dyDescent="0.35">
      <c r="C76" s="4">
        <f>C57</f>
        <v>2023</v>
      </c>
      <c r="D76" s="18"/>
      <c r="E76" s="7"/>
      <c r="F76" s="7"/>
      <c r="G76" s="7">
        <f>G66*$H$14</f>
        <v>40</v>
      </c>
      <c r="H76" s="7">
        <f>H66*$H$14</f>
        <v>36</v>
      </c>
      <c r="I76" s="7">
        <f>I66*$H$14</f>
        <v>32.4</v>
      </c>
      <c r="J76" s="7">
        <f>J66*$H$14</f>
        <v>29.160000000000004</v>
      </c>
      <c r="K76" s="7"/>
      <c r="L76" s="7"/>
      <c r="M76" s="4">
        <f t="shared" si="12"/>
        <v>2023</v>
      </c>
      <c r="N76" s="18"/>
      <c r="O76" s="7"/>
      <c r="P76" s="7"/>
      <c r="Q76" s="7">
        <f t="shared" si="15"/>
        <v>37.321525769751993</v>
      </c>
      <c r="R76" s="7">
        <f t="shared" si="16"/>
        <v>32.930758032134108</v>
      </c>
      <c r="S76" s="7">
        <f t="shared" si="17"/>
        <v>29.056551204824213</v>
      </c>
      <c r="T76" s="7">
        <f t="shared" si="18"/>
        <v>25.638133416021365</v>
      </c>
      <c r="W76" s="62" t="s">
        <v>347</v>
      </c>
    </row>
    <row r="77" spans="2:23" s="2" customFormat="1" x14ac:dyDescent="0.35">
      <c r="C77" s="4">
        <f>C58</f>
        <v>2024</v>
      </c>
      <c r="D77" s="18"/>
      <c r="E77" s="7"/>
      <c r="F77" s="7"/>
      <c r="G77" s="7"/>
      <c r="H77" s="7">
        <f>H67*$H$14</f>
        <v>40</v>
      </c>
      <c r="I77" s="7">
        <f>I67*$H$14</f>
        <v>36</v>
      </c>
      <c r="J77" s="7">
        <f>J67*$H$14</f>
        <v>32.4</v>
      </c>
      <c r="K77" s="7"/>
      <c r="L77" s="7"/>
      <c r="M77" s="4">
        <f t="shared" si="12"/>
        <v>2024</v>
      </c>
      <c r="N77" s="18"/>
      <c r="O77" s="7"/>
      <c r="P77" s="7"/>
      <c r="Q77" s="7"/>
      <c r="R77" s="7">
        <f t="shared" si="16"/>
        <v>36.58973114681568</v>
      </c>
      <c r="S77" s="7">
        <f t="shared" si="17"/>
        <v>32.285056894249124</v>
      </c>
      <c r="T77" s="7">
        <f t="shared" si="18"/>
        <v>28.486814906690402</v>
      </c>
      <c r="W77" s="62" t="s">
        <v>109</v>
      </c>
    </row>
    <row r="78" spans="2:23" s="2" customFormat="1" x14ac:dyDescent="0.35">
      <c r="C78" s="5" t="s">
        <v>4</v>
      </c>
      <c r="D78" s="8">
        <f t="shared" ref="D78:J78" si="19">SUM(D73:D77)</f>
        <v>40</v>
      </c>
      <c r="E78" s="8">
        <f t="shared" si="19"/>
        <v>76</v>
      </c>
      <c r="F78" s="8">
        <f t="shared" si="19"/>
        <v>108.4</v>
      </c>
      <c r="G78" s="8">
        <f t="shared" si="19"/>
        <v>137.56</v>
      </c>
      <c r="H78" s="8">
        <f t="shared" si="19"/>
        <v>163.804</v>
      </c>
      <c r="I78" s="8">
        <f t="shared" si="19"/>
        <v>147.42360000000002</v>
      </c>
      <c r="J78" s="8">
        <f t="shared" si="19"/>
        <v>132.68124000000003</v>
      </c>
      <c r="K78" s="7"/>
      <c r="L78" s="7"/>
      <c r="M78" s="5" t="s">
        <v>4</v>
      </c>
      <c r="N78" s="8">
        <f t="shared" ref="N78:T78" si="20">SUM(N73:N77)</f>
        <v>39.605901719066971</v>
      </c>
      <c r="O78" s="8">
        <f t="shared" si="20"/>
        <v>73.775699280614944</v>
      </c>
      <c r="P78" s="8">
        <f t="shared" si="20"/>
        <v>103.16416153274845</v>
      </c>
      <c r="Q78" s="8">
        <f t="shared" si="20"/>
        <v>128.34872712217711</v>
      </c>
      <c r="R78" s="8">
        <f t="shared" si="20"/>
        <v>149.83860801932491</v>
      </c>
      <c r="S78" s="8">
        <f t="shared" si="20"/>
        <v>132.21053648763962</v>
      </c>
      <c r="T78" s="8">
        <f t="shared" si="20"/>
        <v>116.65635572438788</v>
      </c>
      <c r="W78" s="62"/>
    </row>
    <row r="79" spans="2:23" s="64" customFormat="1" x14ac:dyDescent="0.35">
      <c r="C79" s="65"/>
      <c r="D79" s="67"/>
      <c r="E79" s="67"/>
      <c r="F79" s="68"/>
      <c r="G79" s="67"/>
      <c r="H79" s="67"/>
      <c r="I79" s="67"/>
      <c r="J79" s="67"/>
      <c r="K79" s="67"/>
      <c r="L79" s="67"/>
      <c r="M79" s="67"/>
      <c r="N79" s="67"/>
      <c r="P79" s="68"/>
      <c r="W79" s="66"/>
    </row>
    <row r="80" spans="2:23" s="72" customFormat="1" ht="36" customHeight="1" x14ac:dyDescent="0.35">
      <c r="B80" s="72" t="s">
        <v>35</v>
      </c>
      <c r="C80" s="128" t="s">
        <v>371</v>
      </c>
      <c r="D80" s="128"/>
      <c r="E80" s="128"/>
      <c r="F80" s="128"/>
      <c r="G80" s="128"/>
      <c r="H80" s="128"/>
      <c r="I80" s="128"/>
      <c r="J80" s="128"/>
      <c r="K80" s="128"/>
      <c r="L80" s="73"/>
      <c r="M80" s="128" t="s">
        <v>377</v>
      </c>
      <c r="N80" s="128"/>
      <c r="O80" s="128"/>
      <c r="P80" s="128"/>
      <c r="Q80" s="128"/>
      <c r="R80" s="128"/>
      <c r="S80" s="128"/>
      <c r="T80" s="128"/>
      <c r="U80" s="128"/>
      <c r="W80" s="77"/>
    </row>
    <row r="81" spans="3:30" s="2" customFormat="1" x14ac:dyDescent="0.35">
      <c r="C81" s="4" t="s">
        <v>150</v>
      </c>
      <c r="D81" s="126" t="s">
        <v>0</v>
      </c>
      <c r="E81" s="126"/>
      <c r="F81" s="126"/>
      <c r="G81" s="126"/>
      <c r="H81" s="126"/>
      <c r="I81" s="126"/>
      <c r="J81" s="126"/>
      <c r="K81" s="7"/>
      <c r="L81" s="7"/>
      <c r="M81" s="4" t="s">
        <v>150</v>
      </c>
      <c r="N81" s="126" t="s">
        <v>0</v>
      </c>
      <c r="O81" s="126"/>
      <c r="P81" s="126"/>
      <c r="Q81" s="126"/>
      <c r="R81" s="126"/>
      <c r="S81" s="126"/>
      <c r="T81" s="126"/>
      <c r="W81" s="62"/>
    </row>
    <row r="82" spans="3:30" s="2" customFormat="1" x14ac:dyDescent="0.35">
      <c r="C82" s="4" t="s">
        <v>1</v>
      </c>
      <c r="D82" s="5">
        <v>2020</v>
      </c>
      <c r="E82" s="5">
        <v>2021</v>
      </c>
      <c r="F82" s="5">
        <v>2022</v>
      </c>
      <c r="G82" s="5">
        <v>2023</v>
      </c>
      <c r="H82" s="5">
        <v>2024</v>
      </c>
      <c r="I82" s="5">
        <v>2025</v>
      </c>
      <c r="J82" s="5">
        <v>2026</v>
      </c>
      <c r="K82" s="7"/>
      <c r="L82" s="7"/>
      <c r="M82" s="4" t="s">
        <v>1</v>
      </c>
      <c r="N82" s="5">
        <v>2020</v>
      </c>
      <c r="O82" s="5">
        <v>2021</v>
      </c>
      <c r="P82" s="5">
        <v>2022</v>
      </c>
      <c r="Q82" s="5">
        <v>2023</v>
      </c>
      <c r="R82" s="5">
        <v>2024</v>
      </c>
      <c r="S82" s="5">
        <v>2025</v>
      </c>
      <c r="T82" s="5">
        <v>2026</v>
      </c>
      <c r="W82" s="62" t="s">
        <v>115</v>
      </c>
    </row>
    <row r="83" spans="3:30" s="2" customFormat="1" x14ac:dyDescent="0.35">
      <c r="C83" s="4">
        <f>C63</f>
        <v>2020</v>
      </c>
      <c r="D83" s="7">
        <f>H18*D20</f>
        <v>12.5</v>
      </c>
      <c r="E83" s="7">
        <v>0</v>
      </c>
      <c r="F83" s="7">
        <v>0</v>
      </c>
      <c r="G83" s="7">
        <v>0</v>
      </c>
      <c r="H83" s="7">
        <v>0</v>
      </c>
      <c r="I83" s="7">
        <v>0</v>
      </c>
      <c r="J83" s="7">
        <v>0</v>
      </c>
      <c r="K83" s="7"/>
      <c r="L83" s="7"/>
      <c r="M83" s="4">
        <f>M63</f>
        <v>2020</v>
      </c>
      <c r="N83" s="7">
        <f>D83</f>
        <v>12.5</v>
      </c>
      <c r="O83" s="7">
        <f t="shared" ref="O83:O84" si="21">E83/(1+$G$36)</f>
        <v>0</v>
      </c>
      <c r="P83" s="7">
        <f>F83/(1+$H$36)^2</f>
        <v>0</v>
      </c>
      <c r="Q83" s="7">
        <f>G83/(1+$I$36)^3</f>
        <v>0</v>
      </c>
      <c r="R83" s="7">
        <f>H83/(1+$J$36)^4</f>
        <v>0</v>
      </c>
      <c r="S83" s="7">
        <f>I83/(1+$K$36)^5</f>
        <v>0</v>
      </c>
      <c r="T83" s="7">
        <f>J83/(1+$L$36)^6</f>
        <v>0</v>
      </c>
      <c r="W83" s="62" t="s">
        <v>378</v>
      </c>
    </row>
    <row r="84" spans="3:30" s="2" customFormat="1" x14ac:dyDescent="0.35">
      <c r="C84" s="4">
        <f>C64</f>
        <v>2021</v>
      </c>
      <c r="D84" s="18"/>
      <c r="E84" s="7">
        <f>H18*D20</f>
        <v>12.5</v>
      </c>
      <c r="F84" s="7">
        <v>0</v>
      </c>
      <c r="G84" s="7">
        <v>0</v>
      </c>
      <c r="H84" s="7">
        <v>0</v>
      </c>
      <c r="I84" s="7">
        <v>0</v>
      </c>
      <c r="J84" s="7">
        <v>0</v>
      </c>
      <c r="K84" s="7"/>
      <c r="L84" s="7"/>
      <c r="M84" s="4">
        <f>M64</f>
        <v>2021</v>
      </c>
      <c r="N84" s="7"/>
      <c r="O84" s="7">
        <f t="shared" si="21"/>
        <v>12.254901960784313</v>
      </c>
      <c r="P84" s="7">
        <f t="shared" ref="P84:P85" si="22">F84/(1+$H$36)^2</f>
        <v>0</v>
      </c>
      <c r="Q84" s="7">
        <f t="shared" ref="Q84:Q86" si="23">G84/(1+$I$36)^3</f>
        <v>0</v>
      </c>
      <c r="R84" s="7">
        <f t="shared" ref="R84:R87" si="24">H84/(1+$J$36)^4</f>
        <v>0</v>
      </c>
      <c r="S84" s="7">
        <f t="shared" ref="S84:S87" si="25">I84/(1+$K$36)^5</f>
        <v>0</v>
      </c>
      <c r="T84" s="7">
        <f t="shared" ref="T84:T87" si="26">J84/(1+$L$36)^6</f>
        <v>0</v>
      </c>
      <c r="W84" s="62"/>
    </row>
    <row r="85" spans="3:30" s="2" customFormat="1" x14ac:dyDescent="0.35">
      <c r="C85" s="4">
        <f>C65</f>
        <v>2022</v>
      </c>
      <c r="D85" s="18"/>
      <c r="E85" s="7"/>
      <c r="F85" s="7">
        <f>H18*D20</f>
        <v>12.5</v>
      </c>
      <c r="G85" s="7">
        <v>0</v>
      </c>
      <c r="H85" s="7">
        <v>0</v>
      </c>
      <c r="I85" s="7">
        <v>0</v>
      </c>
      <c r="J85" s="7">
        <v>0</v>
      </c>
      <c r="K85" s="7"/>
      <c r="L85" s="7"/>
      <c r="M85" s="4">
        <f>M65</f>
        <v>2022</v>
      </c>
      <c r="N85" s="7"/>
      <c r="O85" s="7"/>
      <c r="P85" s="7">
        <f t="shared" si="22"/>
        <v>12.014609765474818</v>
      </c>
      <c r="Q85" s="7">
        <f t="shared" si="23"/>
        <v>0</v>
      </c>
      <c r="R85" s="7">
        <f t="shared" si="24"/>
        <v>0</v>
      </c>
      <c r="S85" s="7">
        <f t="shared" si="25"/>
        <v>0</v>
      </c>
      <c r="T85" s="7">
        <f t="shared" si="26"/>
        <v>0</v>
      </c>
      <c r="W85" s="62" t="s">
        <v>116</v>
      </c>
    </row>
    <row r="86" spans="3:30" s="2" customFormat="1" x14ac:dyDescent="0.35">
      <c r="C86" s="4">
        <f>C66</f>
        <v>2023</v>
      </c>
      <c r="D86" s="18"/>
      <c r="E86" s="7"/>
      <c r="F86" s="7"/>
      <c r="G86" s="7">
        <f>H18*D20</f>
        <v>12.5</v>
      </c>
      <c r="H86" s="7">
        <v>0</v>
      </c>
      <c r="I86" s="7">
        <v>0</v>
      </c>
      <c r="J86" s="7">
        <v>0</v>
      </c>
      <c r="K86" s="7"/>
      <c r="L86" s="7"/>
      <c r="M86" s="4">
        <f>M66</f>
        <v>2023</v>
      </c>
      <c r="N86" s="7"/>
      <c r="O86" s="7"/>
      <c r="P86" s="7"/>
      <c r="Q86" s="7">
        <f t="shared" si="23"/>
        <v>11.779029181838057</v>
      </c>
      <c r="R86" s="7">
        <f t="shared" si="24"/>
        <v>0</v>
      </c>
      <c r="S86" s="7">
        <f t="shared" si="25"/>
        <v>0</v>
      </c>
      <c r="T86" s="7">
        <f t="shared" si="26"/>
        <v>0</v>
      </c>
      <c r="W86" s="62" t="s">
        <v>117</v>
      </c>
    </row>
    <row r="87" spans="3:30" s="2" customFormat="1" x14ac:dyDescent="0.35">
      <c r="C87" s="4">
        <f>C67</f>
        <v>2024</v>
      </c>
      <c r="D87" s="18"/>
      <c r="E87" s="7"/>
      <c r="F87" s="7"/>
      <c r="G87" s="7"/>
      <c r="H87" s="7">
        <f>H18*D20</f>
        <v>12.5</v>
      </c>
      <c r="I87" s="7">
        <v>0</v>
      </c>
      <c r="J87" s="7">
        <v>0</v>
      </c>
      <c r="K87" s="10" t="s">
        <v>4</v>
      </c>
      <c r="L87" s="7"/>
      <c r="M87" s="4">
        <f>M67</f>
        <v>2024</v>
      </c>
      <c r="N87" s="7"/>
      <c r="O87" s="7"/>
      <c r="P87" s="7"/>
      <c r="Q87" s="7"/>
      <c r="R87" s="7">
        <f t="shared" si="24"/>
        <v>11.548067825331428</v>
      </c>
      <c r="S87" s="7">
        <f t="shared" si="25"/>
        <v>0</v>
      </c>
      <c r="T87" s="7">
        <f t="shared" si="26"/>
        <v>0</v>
      </c>
      <c r="U87" s="10" t="s">
        <v>4</v>
      </c>
      <c r="W87" s="62"/>
    </row>
    <row r="88" spans="3:30" s="2" customFormat="1" x14ac:dyDescent="0.35">
      <c r="C88" s="5" t="s">
        <v>4</v>
      </c>
      <c r="D88" s="8">
        <f t="shared" ref="D88:J88" si="27">SUM(D83:D87)</f>
        <v>12.5</v>
      </c>
      <c r="E88" s="8">
        <f t="shared" si="27"/>
        <v>12.5</v>
      </c>
      <c r="F88" s="8">
        <f t="shared" si="27"/>
        <v>12.5</v>
      </c>
      <c r="G88" s="8">
        <f t="shared" si="27"/>
        <v>12.5</v>
      </c>
      <c r="H88" s="8">
        <f t="shared" si="27"/>
        <v>12.5</v>
      </c>
      <c r="I88" s="8">
        <f t="shared" si="27"/>
        <v>0</v>
      </c>
      <c r="J88" s="8">
        <f t="shared" si="27"/>
        <v>0</v>
      </c>
      <c r="K88" s="12">
        <f>SUM(D88:J88)</f>
        <v>62.5</v>
      </c>
      <c r="L88" s="7"/>
      <c r="M88" s="5" t="s">
        <v>4</v>
      </c>
      <c r="N88" s="8">
        <f t="shared" ref="N88:T88" si="28">SUM(N83:N87)</f>
        <v>12.5</v>
      </c>
      <c r="O88" s="8">
        <f t="shared" si="28"/>
        <v>12.254901960784313</v>
      </c>
      <c r="P88" s="8">
        <f t="shared" si="28"/>
        <v>12.014609765474818</v>
      </c>
      <c r="Q88" s="8">
        <f t="shared" si="28"/>
        <v>11.779029181838057</v>
      </c>
      <c r="R88" s="8">
        <f t="shared" si="28"/>
        <v>11.548067825331428</v>
      </c>
      <c r="S88" s="8">
        <f t="shared" si="28"/>
        <v>0</v>
      </c>
      <c r="T88" s="8">
        <f t="shared" si="28"/>
        <v>0</v>
      </c>
      <c r="U88" s="12">
        <f>SUM(N88:T88)</f>
        <v>60.096608733428617</v>
      </c>
      <c r="W88" s="62"/>
    </row>
    <row r="89" spans="3:30" s="2" customFormat="1" x14ac:dyDescent="0.35">
      <c r="C89" s="9"/>
      <c r="D89" s="7"/>
      <c r="E89" s="7"/>
      <c r="F89" s="7"/>
      <c r="G89" s="7"/>
      <c r="H89" s="7"/>
      <c r="I89" s="7"/>
      <c r="J89" s="7"/>
      <c r="K89" s="7"/>
      <c r="L89" s="7"/>
      <c r="M89" s="7"/>
      <c r="N89" s="7"/>
      <c r="U89" s="7"/>
      <c r="W89" s="62"/>
    </row>
    <row r="90" spans="3:30" s="72" customFormat="1" ht="30.65" customHeight="1" x14ac:dyDescent="0.35">
      <c r="C90" s="125" t="s">
        <v>379</v>
      </c>
      <c r="D90" s="125"/>
      <c r="E90" s="125"/>
      <c r="F90" s="125"/>
      <c r="G90" s="125"/>
      <c r="H90" s="125"/>
      <c r="I90" s="125"/>
      <c r="J90" s="125"/>
      <c r="K90" s="125"/>
      <c r="L90" s="73"/>
      <c r="M90" s="125" t="s">
        <v>380</v>
      </c>
      <c r="N90" s="125"/>
      <c r="O90" s="125"/>
      <c r="P90" s="125"/>
      <c r="Q90" s="125"/>
      <c r="R90" s="125"/>
      <c r="S90" s="125"/>
      <c r="T90" s="125"/>
      <c r="U90" s="125"/>
      <c r="W90" s="62"/>
      <c r="X90" s="2"/>
      <c r="Y90" s="2"/>
      <c r="Z90" s="2"/>
      <c r="AA90" s="2"/>
      <c r="AB90" s="2"/>
      <c r="AC90" s="2"/>
      <c r="AD90" s="2"/>
    </row>
    <row r="91" spans="3:30" s="2" customFormat="1" x14ac:dyDescent="0.35">
      <c r="C91" s="4" t="s">
        <v>150</v>
      </c>
      <c r="D91" s="126" t="s">
        <v>0</v>
      </c>
      <c r="E91" s="126"/>
      <c r="F91" s="126"/>
      <c r="G91" s="126"/>
      <c r="H91" s="126"/>
      <c r="I91" s="126"/>
      <c r="J91" s="126"/>
      <c r="K91" s="7"/>
      <c r="L91" s="7"/>
      <c r="M91" s="4" t="s">
        <v>150</v>
      </c>
      <c r="N91" s="126" t="s">
        <v>0</v>
      </c>
      <c r="O91" s="126"/>
      <c r="P91" s="126"/>
      <c r="Q91" s="126"/>
      <c r="R91" s="126"/>
      <c r="S91" s="126"/>
      <c r="T91" s="126"/>
      <c r="U91" s="7"/>
      <c r="W91" s="62" t="s">
        <v>124</v>
      </c>
    </row>
    <row r="92" spans="3:30" s="2" customFormat="1" x14ac:dyDescent="0.35">
      <c r="C92" s="4" t="s">
        <v>1</v>
      </c>
      <c r="D92" s="5">
        <v>2020</v>
      </c>
      <c r="E92" s="5">
        <v>2021</v>
      </c>
      <c r="F92" s="5">
        <v>2022</v>
      </c>
      <c r="G92" s="5">
        <v>2023</v>
      </c>
      <c r="H92" s="5">
        <v>2024</v>
      </c>
      <c r="I92" s="5">
        <v>2025</v>
      </c>
      <c r="J92" s="5">
        <v>2026</v>
      </c>
      <c r="K92" s="7"/>
      <c r="L92" s="7"/>
      <c r="M92" s="4" t="s">
        <v>1</v>
      </c>
      <c r="N92" s="5">
        <v>2020</v>
      </c>
      <c r="O92" s="5">
        <v>2021</v>
      </c>
      <c r="P92" s="5">
        <v>2022</v>
      </c>
      <c r="Q92" s="5">
        <v>2023</v>
      </c>
      <c r="R92" s="5">
        <v>2024</v>
      </c>
      <c r="S92" s="5">
        <v>2025</v>
      </c>
      <c r="T92" s="5">
        <v>2026</v>
      </c>
      <c r="U92" s="7"/>
      <c r="W92" s="62" t="s">
        <v>151</v>
      </c>
    </row>
    <row r="93" spans="3:30" s="2" customFormat="1" x14ac:dyDescent="0.35">
      <c r="C93" s="4">
        <f>C83</f>
        <v>2020</v>
      </c>
      <c r="D93" s="7">
        <f>H18*D21</f>
        <v>12.5</v>
      </c>
      <c r="E93" s="7">
        <v>0</v>
      </c>
      <c r="F93" s="7">
        <v>0</v>
      </c>
      <c r="G93" s="7">
        <v>0</v>
      </c>
      <c r="H93" s="7">
        <v>0</v>
      </c>
      <c r="I93" s="7">
        <v>0</v>
      </c>
      <c r="J93" s="7">
        <v>0</v>
      </c>
      <c r="K93" s="7"/>
      <c r="L93" s="7"/>
      <c r="M93" s="4">
        <f>M83</f>
        <v>2020</v>
      </c>
      <c r="N93" s="7">
        <f>D93</f>
        <v>12.5</v>
      </c>
      <c r="O93" s="7">
        <f>E93/(1+$G$36)^((12-$F$11)/12)</f>
        <v>0</v>
      </c>
      <c r="P93" s="7">
        <f t="shared" ref="P93:P94" si="29">F93/(1+$H$36)^((12-$F$11)/12+1)</f>
        <v>0</v>
      </c>
      <c r="Q93" s="7">
        <f t="shared" ref="Q93:Q95" si="30">G93/(1+$I$36)^((12-$F$11)/12+2)</f>
        <v>0</v>
      </c>
      <c r="R93" s="7">
        <f t="shared" ref="R93:R96" si="31">H93/(1+$J$36)^((12-$F$11)/12+3)</f>
        <v>0</v>
      </c>
      <c r="S93" s="7">
        <v>0</v>
      </c>
      <c r="T93" s="7">
        <v>0</v>
      </c>
      <c r="U93" s="7"/>
      <c r="W93" s="62"/>
    </row>
    <row r="94" spans="3:30" s="2" customFormat="1" x14ac:dyDescent="0.35">
      <c r="C94" s="4">
        <f t="shared" ref="C94:C97" si="32">C84</f>
        <v>2021</v>
      </c>
      <c r="D94" s="18"/>
      <c r="E94" s="7">
        <f>H18*D21</f>
        <v>12.5</v>
      </c>
      <c r="F94" s="7">
        <v>0</v>
      </c>
      <c r="G94" s="7">
        <v>0</v>
      </c>
      <c r="H94" s="7">
        <v>0</v>
      </c>
      <c r="I94" s="7">
        <v>0</v>
      </c>
      <c r="J94" s="7">
        <v>0</v>
      </c>
      <c r="K94" s="7"/>
      <c r="L94" s="7"/>
      <c r="M94" s="4">
        <f t="shared" ref="M94:M97" si="33">M84</f>
        <v>2021</v>
      </c>
      <c r="N94" s="7"/>
      <c r="O94" s="7">
        <f>E94/(1+$G$36)^((12-$F$11)/12)</f>
        <v>12.254901960784313</v>
      </c>
      <c r="P94" s="7">
        <f t="shared" si="29"/>
        <v>0</v>
      </c>
      <c r="Q94" s="7">
        <f t="shared" si="30"/>
        <v>0</v>
      </c>
      <c r="R94" s="7">
        <f t="shared" si="31"/>
        <v>0</v>
      </c>
      <c r="S94" s="7">
        <v>0</v>
      </c>
      <c r="T94" s="7">
        <v>0</v>
      </c>
      <c r="U94" s="7"/>
      <c r="W94" s="62" t="s">
        <v>125</v>
      </c>
    </row>
    <row r="95" spans="3:30" s="2" customFormat="1" x14ac:dyDescent="0.35">
      <c r="C95" s="4">
        <f t="shared" si="32"/>
        <v>2022</v>
      </c>
      <c r="D95" s="18"/>
      <c r="E95" s="7"/>
      <c r="F95" s="7">
        <f>H18*D21</f>
        <v>12.5</v>
      </c>
      <c r="G95" s="7">
        <v>0</v>
      </c>
      <c r="H95" s="7">
        <v>0</v>
      </c>
      <c r="I95" s="7">
        <v>0</v>
      </c>
      <c r="J95" s="7">
        <v>0</v>
      </c>
      <c r="K95" s="7"/>
      <c r="L95" s="7"/>
      <c r="M95" s="4">
        <f t="shared" si="33"/>
        <v>2022</v>
      </c>
      <c r="N95" s="7"/>
      <c r="O95" s="7"/>
      <c r="P95" s="7">
        <f>F95/(1+$H$36)^((12-$F$11)/12+1)</f>
        <v>12.014609765474818</v>
      </c>
      <c r="Q95" s="7">
        <f t="shared" si="30"/>
        <v>0</v>
      </c>
      <c r="R95" s="7">
        <f t="shared" si="31"/>
        <v>0</v>
      </c>
      <c r="S95" s="7">
        <v>0</v>
      </c>
      <c r="T95" s="7">
        <v>0</v>
      </c>
      <c r="U95" s="7"/>
      <c r="W95" s="62" t="s">
        <v>128</v>
      </c>
    </row>
    <row r="96" spans="3:30" s="2" customFormat="1" x14ac:dyDescent="0.35">
      <c r="C96" s="4">
        <f t="shared" si="32"/>
        <v>2023</v>
      </c>
      <c r="D96" s="18"/>
      <c r="E96" s="7"/>
      <c r="F96" s="7"/>
      <c r="G96" s="7">
        <f>H18*D21</f>
        <v>12.5</v>
      </c>
      <c r="H96" s="7">
        <v>0</v>
      </c>
      <c r="I96" s="7">
        <v>0</v>
      </c>
      <c r="J96" s="7">
        <v>0</v>
      </c>
      <c r="K96" s="7"/>
      <c r="L96" s="7"/>
      <c r="M96" s="4">
        <f t="shared" si="33"/>
        <v>2023</v>
      </c>
      <c r="N96" s="7"/>
      <c r="O96" s="7"/>
      <c r="P96" s="7"/>
      <c r="Q96" s="7">
        <f>G96/(1+$I$36)^((12-$F$11)/12+2)</f>
        <v>11.779029181838057</v>
      </c>
      <c r="R96" s="7">
        <f t="shared" si="31"/>
        <v>0</v>
      </c>
      <c r="S96" s="7">
        <v>0</v>
      </c>
      <c r="T96" s="7">
        <v>0</v>
      </c>
      <c r="U96" s="7"/>
      <c r="W96" s="62" t="s">
        <v>126</v>
      </c>
    </row>
    <row r="97" spans="3:26" s="2" customFormat="1" x14ac:dyDescent="0.35">
      <c r="C97" s="4">
        <f t="shared" si="32"/>
        <v>2024</v>
      </c>
      <c r="D97" s="18"/>
      <c r="E97" s="7"/>
      <c r="F97" s="7"/>
      <c r="G97" s="7"/>
      <c r="H97" s="7">
        <f>H18*D21</f>
        <v>12.5</v>
      </c>
      <c r="I97" s="7">
        <v>0</v>
      </c>
      <c r="J97" s="7">
        <v>0</v>
      </c>
      <c r="K97" s="10" t="s">
        <v>4</v>
      </c>
      <c r="L97" s="7"/>
      <c r="M97" s="4">
        <f t="shared" si="33"/>
        <v>2024</v>
      </c>
      <c r="N97" s="7"/>
      <c r="O97" s="7"/>
      <c r="P97" s="7"/>
      <c r="Q97" s="7"/>
      <c r="R97" s="7">
        <f>H97/(1+$J$36)^((12-$F$11)/12+3)</f>
        <v>11.548067825331428</v>
      </c>
      <c r="S97" s="7">
        <v>0</v>
      </c>
      <c r="T97" s="7">
        <v>0</v>
      </c>
      <c r="U97" s="10" t="s">
        <v>4</v>
      </c>
      <c r="W97" s="62"/>
    </row>
    <row r="98" spans="3:26" s="2" customFormat="1" x14ac:dyDescent="0.35">
      <c r="C98" s="5" t="s">
        <v>4</v>
      </c>
      <c r="D98" s="8">
        <f t="shared" ref="D98:J98" si="34">SUM(D93:D97)</f>
        <v>12.5</v>
      </c>
      <c r="E98" s="8">
        <f t="shared" si="34"/>
        <v>12.5</v>
      </c>
      <c r="F98" s="8">
        <f t="shared" si="34"/>
        <v>12.5</v>
      </c>
      <c r="G98" s="8">
        <f t="shared" si="34"/>
        <v>12.5</v>
      </c>
      <c r="H98" s="8">
        <f t="shared" si="34"/>
        <v>12.5</v>
      </c>
      <c r="I98" s="8">
        <f t="shared" si="34"/>
        <v>0</v>
      </c>
      <c r="J98" s="8">
        <f t="shared" si="34"/>
        <v>0</v>
      </c>
      <c r="K98" s="12">
        <f>SUM(D98:J98)</f>
        <v>62.5</v>
      </c>
      <c r="L98" s="7"/>
      <c r="M98" s="5" t="s">
        <v>4</v>
      </c>
      <c r="N98" s="8">
        <f t="shared" ref="N98:T98" si="35">SUM(N93:N97)</f>
        <v>12.5</v>
      </c>
      <c r="O98" s="8">
        <f t="shared" si="35"/>
        <v>12.254901960784313</v>
      </c>
      <c r="P98" s="8">
        <f t="shared" si="35"/>
        <v>12.014609765474818</v>
      </c>
      <c r="Q98" s="8">
        <f t="shared" si="35"/>
        <v>11.779029181838057</v>
      </c>
      <c r="R98" s="8">
        <f t="shared" si="35"/>
        <v>11.548067825331428</v>
      </c>
      <c r="S98" s="8">
        <f t="shared" si="35"/>
        <v>0</v>
      </c>
      <c r="T98" s="8">
        <f t="shared" si="35"/>
        <v>0</v>
      </c>
      <c r="U98" s="12">
        <f>SUM(N98:T98)</f>
        <v>60.096608733428617</v>
      </c>
      <c r="W98" s="62"/>
    </row>
    <row r="99" spans="3:26" s="2" customFormat="1" x14ac:dyDescent="0.35">
      <c r="C99" s="9"/>
      <c r="D99" s="7"/>
      <c r="E99" s="7"/>
      <c r="F99" s="7"/>
      <c r="G99" s="7"/>
      <c r="H99" s="7"/>
      <c r="I99" s="7"/>
      <c r="J99" s="7"/>
      <c r="K99" s="7"/>
      <c r="L99" s="7"/>
      <c r="M99" s="7"/>
      <c r="N99" s="7"/>
      <c r="U99" s="7"/>
      <c r="W99" s="62"/>
    </row>
    <row r="100" spans="3:26" s="72" customFormat="1" ht="31.25" customHeight="1" x14ac:dyDescent="0.35">
      <c r="C100" s="125" t="s">
        <v>381</v>
      </c>
      <c r="D100" s="125"/>
      <c r="E100" s="125"/>
      <c r="F100" s="125"/>
      <c r="G100" s="125"/>
      <c r="H100" s="125"/>
      <c r="I100" s="125"/>
      <c r="J100" s="125"/>
      <c r="K100" s="125"/>
      <c r="L100" s="73"/>
      <c r="M100" s="125" t="s">
        <v>382</v>
      </c>
      <c r="N100" s="125"/>
      <c r="O100" s="125"/>
      <c r="P100" s="125"/>
      <c r="Q100" s="125"/>
      <c r="R100" s="125"/>
      <c r="S100" s="125"/>
      <c r="T100" s="125"/>
      <c r="U100" s="125"/>
      <c r="W100" s="77"/>
    </row>
    <row r="101" spans="3:26" s="2" customFormat="1" x14ac:dyDescent="0.35">
      <c r="C101" s="4" t="s">
        <v>150</v>
      </c>
      <c r="D101" s="126" t="s">
        <v>0</v>
      </c>
      <c r="E101" s="126"/>
      <c r="F101" s="126"/>
      <c r="G101" s="126"/>
      <c r="H101" s="126"/>
      <c r="I101" s="126"/>
      <c r="J101" s="126"/>
      <c r="K101" s="7"/>
      <c r="L101" s="7"/>
      <c r="M101" s="4" t="s">
        <v>150</v>
      </c>
      <c r="N101" s="126" t="s">
        <v>0</v>
      </c>
      <c r="O101" s="126"/>
      <c r="P101" s="126"/>
      <c r="Q101" s="126"/>
      <c r="R101" s="126"/>
      <c r="S101" s="126"/>
      <c r="T101" s="126"/>
      <c r="U101" s="7"/>
      <c r="W101" s="62"/>
    </row>
    <row r="102" spans="3:26" s="2" customFormat="1" x14ac:dyDescent="0.35">
      <c r="C102" s="4" t="s">
        <v>1</v>
      </c>
      <c r="D102" s="5">
        <v>2020</v>
      </c>
      <c r="E102" s="5">
        <v>2021</v>
      </c>
      <c r="F102" s="5">
        <v>2022</v>
      </c>
      <c r="G102" s="5">
        <v>2023</v>
      </c>
      <c r="H102" s="5">
        <v>2024</v>
      </c>
      <c r="I102" s="5">
        <v>2025</v>
      </c>
      <c r="J102" s="5">
        <v>2026</v>
      </c>
      <c r="K102" s="7"/>
      <c r="L102" s="7"/>
      <c r="M102" s="4" t="s">
        <v>1</v>
      </c>
      <c r="N102" s="5">
        <v>2020</v>
      </c>
      <c r="O102" s="5">
        <v>2021</v>
      </c>
      <c r="P102" s="5">
        <v>2022</v>
      </c>
      <c r="Q102" s="5">
        <v>2023</v>
      </c>
      <c r="R102" s="5">
        <v>2024</v>
      </c>
      <c r="S102" s="5">
        <v>2025</v>
      </c>
      <c r="T102" s="5">
        <v>2026</v>
      </c>
      <c r="U102" s="7"/>
      <c r="W102" s="62" t="s">
        <v>129</v>
      </c>
    </row>
    <row r="103" spans="3:26" s="2" customFormat="1" x14ac:dyDescent="0.35">
      <c r="C103" s="4">
        <f>C93</f>
        <v>2020</v>
      </c>
      <c r="D103" s="7">
        <f>H28</f>
        <v>30</v>
      </c>
      <c r="E103" s="7">
        <v>0</v>
      </c>
      <c r="F103" s="7">
        <v>0</v>
      </c>
      <c r="G103" s="7">
        <v>0</v>
      </c>
      <c r="H103" s="7">
        <v>0</v>
      </c>
      <c r="I103" s="7">
        <v>0</v>
      </c>
      <c r="J103" s="7">
        <v>0</v>
      </c>
      <c r="K103" s="7"/>
      <c r="L103" s="7"/>
      <c r="M103" s="4">
        <f>M93</f>
        <v>2020</v>
      </c>
      <c r="N103" s="7">
        <f>D103</f>
        <v>30</v>
      </c>
      <c r="O103" s="7">
        <f>E103/(1+$G$36)</f>
        <v>0</v>
      </c>
      <c r="P103" s="7">
        <f>F103/(1+$H$36)^2</f>
        <v>0</v>
      </c>
      <c r="Q103" s="7">
        <f>G103/(1+$I$36)^3</f>
        <v>0</v>
      </c>
      <c r="R103" s="7">
        <f>H103/(1+$J$36)^4</f>
        <v>0</v>
      </c>
      <c r="S103" s="7">
        <f>I103/(1+$K$36)^5</f>
        <v>0</v>
      </c>
      <c r="T103" s="7">
        <f>J103/(1+$L$36)^6</f>
        <v>0</v>
      </c>
      <c r="U103" s="7"/>
      <c r="W103" s="62" t="s">
        <v>130</v>
      </c>
    </row>
    <row r="104" spans="3:26" s="2" customFormat="1" x14ac:dyDescent="0.35">
      <c r="C104" s="4">
        <f t="shared" ref="C104:C107" si="36">C94</f>
        <v>2021</v>
      </c>
      <c r="D104" s="18"/>
      <c r="E104" s="7">
        <v>0</v>
      </c>
      <c r="F104" s="7">
        <v>0</v>
      </c>
      <c r="G104" s="7">
        <v>0</v>
      </c>
      <c r="H104" s="7">
        <v>0</v>
      </c>
      <c r="I104" s="7">
        <v>0</v>
      </c>
      <c r="J104" s="7">
        <v>0</v>
      </c>
      <c r="K104" s="7"/>
      <c r="L104" s="7"/>
      <c r="M104" s="4">
        <f t="shared" ref="M104:M107" si="37">M94</f>
        <v>2021</v>
      </c>
      <c r="N104" s="7"/>
      <c r="O104" s="7">
        <f>E104/(1+$G$36)^((12-$F$11)/12)</f>
        <v>0</v>
      </c>
      <c r="P104" s="7">
        <f>F104/(1+$H$36)^2</f>
        <v>0</v>
      </c>
      <c r="Q104" s="7">
        <f>G104/(1+$I$36)^3</f>
        <v>0</v>
      </c>
      <c r="R104" s="7">
        <f>H104/(1+$J$36)^4</f>
        <v>0</v>
      </c>
      <c r="S104" s="7">
        <f t="shared" ref="S104:S107" si="38">I104/(1+$K$36)^5</f>
        <v>0</v>
      </c>
      <c r="T104" s="7">
        <f t="shared" ref="T104:T107" si="39">J104/(1+$L$36)^6</f>
        <v>0</v>
      </c>
      <c r="U104" s="7"/>
      <c r="W104" s="62"/>
    </row>
    <row r="105" spans="3:26" s="2" customFormat="1" x14ac:dyDescent="0.35">
      <c r="C105" s="4">
        <f t="shared" si="36"/>
        <v>2022</v>
      </c>
      <c r="D105" s="18"/>
      <c r="E105" s="7"/>
      <c r="F105" s="7">
        <f>E104</f>
        <v>0</v>
      </c>
      <c r="G105" s="7">
        <v>0</v>
      </c>
      <c r="H105" s="7">
        <v>0</v>
      </c>
      <c r="I105" s="7">
        <v>0</v>
      </c>
      <c r="J105" s="7">
        <v>0</v>
      </c>
      <c r="K105" s="7"/>
      <c r="L105" s="7"/>
      <c r="M105" s="4">
        <f t="shared" si="37"/>
        <v>2022</v>
      </c>
      <c r="N105" s="7"/>
      <c r="O105" s="7"/>
      <c r="P105" s="7">
        <f>F105/(1+$H$36)^((12-$F$11)/12+1)</f>
        <v>0</v>
      </c>
      <c r="Q105" s="7">
        <f>G105/(1+$I$36)^3</f>
        <v>0</v>
      </c>
      <c r="R105" s="7">
        <f>H105/(1+$J$36)^4</f>
        <v>0</v>
      </c>
      <c r="S105" s="7">
        <f t="shared" si="38"/>
        <v>0</v>
      </c>
      <c r="T105" s="7">
        <f t="shared" si="39"/>
        <v>0</v>
      </c>
      <c r="U105" s="7"/>
      <c r="W105" s="62" t="s">
        <v>127</v>
      </c>
    </row>
    <row r="106" spans="3:26" s="2" customFormat="1" x14ac:dyDescent="0.35">
      <c r="C106" s="4">
        <f t="shared" si="36"/>
        <v>2023</v>
      </c>
      <c r="D106" s="18"/>
      <c r="E106" s="7"/>
      <c r="F106" s="7"/>
      <c r="G106" s="7">
        <f>F105</f>
        <v>0</v>
      </c>
      <c r="H106" s="7">
        <v>0</v>
      </c>
      <c r="I106" s="7">
        <v>0</v>
      </c>
      <c r="J106" s="7">
        <v>0</v>
      </c>
      <c r="K106" s="7"/>
      <c r="L106" s="7"/>
      <c r="M106" s="4">
        <f t="shared" si="37"/>
        <v>2023</v>
      </c>
      <c r="N106" s="7"/>
      <c r="O106" s="7"/>
      <c r="P106" s="7"/>
      <c r="Q106" s="7">
        <f>G106/(1+$I$36)^((12-$F$11)/12+2)</f>
        <v>0</v>
      </c>
      <c r="R106" s="7">
        <f>H106/(1+$J$36)^4</f>
        <v>0</v>
      </c>
      <c r="S106" s="7">
        <f t="shared" si="38"/>
        <v>0</v>
      </c>
      <c r="T106" s="7">
        <f t="shared" si="39"/>
        <v>0</v>
      </c>
      <c r="U106" s="7"/>
      <c r="W106" s="62" t="s">
        <v>131</v>
      </c>
    </row>
    <row r="107" spans="3:26" s="2" customFormat="1" x14ac:dyDescent="0.35">
      <c r="C107" s="4">
        <f t="shared" si="36"/>
        <v>2024</v>
      </c>
      <c r="D107" s="18"/>
      <c r="E107" s="7"/>
      <c r="F107" s="7"/>
      <c r="G107" s="7"/>
      <c r="H107" s="7">
        <f>G106</f>
        <v>0</v>
      </c>
      <c r="I107" s="7">
        <v>0</v>
      </c>
      <c r="J107" s="7">
        <v>0</v>
      </c>
      <c r="K107" s="10" t="s">
        <v>4</v>
      </c>
      <c r="L107" s="7"/>
      <c r="M107" s="4">
        <f t="shared" si="37"/>
        <v>2024</v>
      </c>
      <c r="N107" s="7"/>
      <c r="O107" s="7"/>
      <c r="P107" s="7"/>
      <c r="Q107" s="7"/>
      <c r="R107" s="7">
        <f>H107/(1+$J$36)^((12-$F$11)/12+3)</f>
        <v>0</v>
      </c>
      <c r="S107" s="7">
        <f t="shared" si="38"/>
        <v>0</v>
      </c>
      <c r="T107" s="7">
        <f t="shared" si="39"/>
        <v>0</v>
      </c>
      <c r="U107" s="10" t="s">
        <v>4</v>
      </c>
      <c r="W107" s="62"/>
    </row>
    <row r="108" spans="3:26" s="2" customFormat="1" x14ac:dyDescent="0.35">
      <c r="C108" s="5" t="s">
        <v>4</v>
      </c>
      <c r="D108" s="8">
        <f t="shared" ref="D108:J108" si="40">SUM(D103:D107)</f>
        <v>30</v>
      </c>
      <c r="E108" s="8">
        <f t="shared" si="40"/>
        <v>0</v>
      </c>
      <c r="F108" s="8">
        <f t="shared" si="40"/>
        <v>0</v>
      </c>
      <c r="G108" s="8">
        <f t="shared" si="40"/>
        <v>0</v>
      </c>
      <c r="H108" s="8">
        <f t="shared" si="40"/>
        <v>0</v>
      </c>
      <c r="I108" s="8">
        <f t="shared" si="40"/>
        <v>0</v>
      </c>
      <c r="J108" s="8">
        <f t="shared" si="40"/>
        <v>0</v>
      </c>
      <c r="K108" s="12">
        <f>SUM(D108:J108)</f>
        <v>30</v>
      </c>
      <c r="L108" s="7"/>
      <c r="M108" s="5" t="s">
        <v>4</v>
      </c>
      <c r="N108" s="8">
        <f t="shared" ref="N108:T108" si="41">SUM(N103:N107)</f>
        <v>30</v>
      </c>
      <c r="O108" s="8">
        <f t="shared" si="41"/>
        <v>0</v>
      </c>
      <c r="P108" s="8">
        <f t="shared" si="41"/>
        <v>0</v>
      </c>
      <c r="Q108" s="8">
        <f t="shared" si="41"/>
        <v>0</v>
      </c>
      <c r="R108" s="8">
        <f t="shared" si="41"/>
        <v>0</v>
      </c>
      <c r="S108" s="8">
        <f t="shared" si="41"/>
        <v>0</v>
      </c>
      <c r="T108" s="8">
        <f t="shared" si="41"/>
        <v>0</v>
      </c>
      <c r="U108" s="12">
        <f>SUM(N108:T108)</f>
        <v>30</v>
      </c>
      <c r="W108" s="62"/>
    </row>
    <row r="109" spans="3:26" s="2" customFormat="1" x14ac:dyDescent="0.35">
      <c r="C109" s="9"/>
      <c r="D109" s="7"/>
      <c r="E109" s="7"/>
      <c r="F109" s="7"/>
      <c r="G109" s="7"/>
      <c r="H109" s="7"/>
      <c r="I109" s="7"/>
      <c r="J109" s="7"/>
      <c r="K109" s="7"/>
      <c r="L109" s="7"/>
      <c r="M109" s="7"/>
      <c r="N109" s="7"/>
      <c r="U109" s="7"/>
      <c r="W109" s="62"/>
    </row>
    <row r="110" spans="3:26" s="72" customFormat="1" ht="33" customHeight="1" x14ac:dyDescent="0.35">
      <c r="C110" s="129" t="s">
        <v>383</v>
      </c>
      <c r="D110" s="129"/>
      <c r="E110" s="129"/>
      <c r="F110" s="129"/>
      <c r="G110" s="129"/>
      <c r="H110" s="129"/>
      <c r="I110" s="129"/>
      <c r="J110" s="129"/>
      <c r="K110" s="129"/>
      <c r="L110" s="73"/>
      <c r="M110" s="125" t="s">
        <v>384</v>
      </c>
      <c r="N110" s="125"/>
      <c r="O110" s="125"/>
      <c r="P110" s="125"/>
      <c r="Q110" s="125"/>
      <c r="R110" s="125"/>
      <c r="S110" s="125"/>
      <c r="T110" s="125"/>
      <c r="U110" s="125"/>
      <c r="W110" s="62"/>
      <c r="X110" s="2"/>
      <c r="Y110" s="2"/>
      <c r="Z110" s="2"/>
    </row>
    <row r="111" spans="3:26" s="2" customFormat="1" x14ac:dyDescent="0.35">
      <c r="C111" s="4" t="s">
        <v>150</v>
      </c>
      <c r="D111" s="126" t="s">
        <v>0</v>
      </c>
      <c r="E111" s="126"/>
      <c r="F111" s="126"/>
      <c r="G111" s="126"/>
      <c r="H111" s="126"/>
      <c r="I111" s="126"/>
      <c r="J111" s="126"/>
      <c r="K111" s="7"/>
      <c r="L111" s="7"/>
      <c r="M111" s="4" t="s">
        <v>150</v>
      </c>
      <c r="N111" s="126" t="s">
        <v>0</v>
      </c>
      <c r="O111" s="126"/>
      <c r="P111" s="126"/>
      <c r="Q111" s="126"/>
      <c r="R111" s="126"/>
      <c r="S111" s="126"/>
      <c r="T111" s="126"/>
      <c r="U111" s="7"/>
      <c r="W111" s="62"/>
    </row>
    <row r="112" spans="3:26" s="2" customFormat="1" x14ac:dyDescent="0.35">
      <c r="C112" s="4" t="s">
        <v>1</v>
      </c>
      <c r="D112" s="5">
        <v>2020</v>
      </c>
      <c r="E112" s="5">
        <v>2021</v>
      </c>
      <c r="F112" s="5">
        <v>2022</v>
      </c>
      <c r="G112" s="5">
        <v>2023</v>
      </c>
      <c r="H112" s="5">
        <v>2024</v>
      </c>
      <c r="I112" s="5">
        <v>2025</v>
      </c>
      <c r="J112" s="5">
        <v>2026</v>
      </c>
      <c r="K112" s="7"/>
      <c r="L112" s="7"/>
      <c r="M112" s="4" t="s">
        <v>1</v>
      </c>
      <c r="N112" s="5">
        <v>2020</v>
      </c>
      <c r="O112" s="5">
        <v>2021</v>
      </c>
      <c r="P112" s="5">
        <v>2022</v>
      </c>
      <c r="Q112" s="5">
        <v>2023</v>
      </c>
      <c r="R112" s="5">
        <v>2024</v>
      </c>
      <c r="S112" s="5">
        <v>2025</v>
      </c>
      <c r="T112" s="5">
        <v>2026</v>
      </c>
      <c r="U112" s="7"/>
      <c r="W112" s="62" t="s">
        <v>132</v>
      </c>
    </row>
    <row r="113" spans="2:23" s="2" customFormat="1" x14ac:dyDescent="0.35">
      <c r="C113" s="4">
        <f>C93</f>
        <v>2020</v>
      </c>
      <c r="D113" s="7">
        <f>D83+D93+D103</f>
        <v>55</v>
      </c>
      <c r="E113" s="7">
        <f t="shared" ref="E113:J113" si="42">E83+E93+E103</f>
        <v>0</v>
      </c>
      <c r="F113" s="7">
        <f t="shared" si="42"/>
        <v>0</v>
      </c>
      <c r="G113" s="7">
        <f t="shared" si="42"/>
        <v>0</v>
      </c>
      <c r="H113" s="7">
        <f t="shared" si="42"/>
        <v>0</v>
      </c>
      <c r="I113" s="7">
        <f t="shared" si="42"/>
        <v>0</v>
      </c>
      <c r="J113" s="7">
        <f t="shared" si="42"/>
        <v>0</v>
      </c>
      <c r="K113" s="7"/>
      <c r="L113" s="7"/>
      <c r="M113" s="4">
        <f>M93</f>
        <v>2020</v>
      </c>
      <c r="N113" s="7">
        <f>N83+N93+N103</f>
        <v>55</v>
      </c>
      <c r="O113" s="7">
        <f t="shared" ref="O113:T113" si="43">O83+O93+O103</f>
        <v>0</v>
      </c>
      <c r="P113" s="7">
        <f t="shared" si="43"/>
        <v>0</v>
      </c>
      <c r="Q113" s="7">
        <f t="shared" si="43"/>
        <v>0</v>
      </c>
      <c r="R113" s="7">
        <f t="shared" si="43"/>
        <v>0</v>
      </c>
      <c r="S113" s="7">
        <f t="shared" si="43"/>
        <v>0</v>
      </c>
      <c r="T113" s="7">
        <f t="shared" si="43"/>
        <v>0</v>
      </c>
      <c r="U113" s="7"/>
      <c r="W113" s="62" t="s">
        <v>134</v>
      </c>
    </row>
    <row r="114" spans="2:23" s="2" customFormat="1" x14ac:dyDescent="0.35">
      <c r="C114" s="4">
        <f t="shared" ref="C114:C117" si="44">C94</f>
        <v>2021</v>
      </c>
      <c r="D114" s="18"/>
      <c r="E114" s="7">
        <f t="shared" ref="E114:J114" si="45">E84+E94+E104</f>
        <v>25</v>
      </c>
      <c r="F114" s="7">
        <f t="shared" si="45"/>
        <v>0</v>
      </c>
      <c r="G114" s="7">
        <f t="shared" si="45"/>
        <v>0</v>
      </c>
      <c r="H114" s="7">
        <f t="shared" si="45"/>
        <v>0</v>
      </c>
      <c r="I114" s="7">
        <f t="shared" si="45"/>
        <v>0</v>
      </c>
      <c r="J114" s="7">
        <f t="shared" si="45"/>
        <v>0</v>
      </c>
      <c r="K114" s="7"/>
      <c r="L114" s="7"/>
      <c r="M114" s="4">
        <f t="shared" ref="M114:M117" si="46">M94</f>
        <v>2021</v>
      </c>
      <c r="N114" s="18"/>
      <c r="O114" s="7">
        <f t="shared" ref="O114:T114" si="47">O84+O94+O104</f>
        <v>24.509803921568626</v>
      </c>
      <c r="P114" s="7">
        <f t="shared" si="47"/>
        <v>0</v>
      </c>
      <c r="Q114" s="7">
        <f t="shared" si="47"/>
        <v>0</v>
      </c>
      <c r="R114" s="7">
        <f t="shared" si="47"/>
        <v>0</v>
      </c>
      <c r="S114" s="7">
        <f t="shared" si="47"/>
        <v>0</v>
      </c>
      <c r="T114" s="7">
        <f t="shared" si="47"/>
        <v>0</v>
      </c>
      <c r="U114" s="7"/>
      <c r="W114" s="62"/>
    </row>
    <row r="115" spans="2:23" s="2" customFormat="1" x14ac:dyDescent="0.35">
      <c r="C115" s="4">
        <f t="shared" si="44"/>
        <v>2022</v>
      </c>
      <c r="D115" s="18"/>
      <c r="E115" s="7"/>
      <c r="F115" s="7">
        <f t="shared" ref="F115:J115" si="48">F85+F95+F105</f>
        <v>25</v>
      </c>
      <c r="G115" s="7">
        <f t="shared" si="48"/>
        <v>0</v>
      </c>
      <c r="H115" s="7">
        <f t="shared" si="48"/>
        <v>0</v>
      </c>
      <c r="I115" s="7">
        <f t="shared" si="48"/>
        <v>0</v>
      </c>
      <c r="J115" s="7">
        <f t="shared" si="48"/>
        <v>0</v>
      </c>
      <c r="K115" s="7"/>
      <c r="L115" s="7"/>
      <c r="M115" s="4">
        <f t="shared" si="46"/>
        <v>2022</v>
      </c>
      <c r="N115" s="18"/>
      <c r="O115" s="7"/>
      <c r="P115" s="7">
        <f t="shared" ref="P115:T115" si="49">P85+P95+P105</f>
        <v>24.029219530949636</v>
      </c>
      <c r="Q115" s="7">
        <f t="shared" si="49"/>
        <v>0</v>
      </c>
      <c r="R115" s="7">
        <f t="shared" si="49"/>
        <v>0</v>
      </c>
      <c r="S115" s="7">
        <f t="shared" si="49"/>
        <v>0</v>
      </c>
      <c r="T115" s="7">
        <f t="shared" si="49"/>
        <v>0</v>
      </c>
      <c r="U115" s="7"/>
      <c r="W115" s="62" t="s">
        <v>133</v>
      </c>
    </row>
    <row r="116" spans="2:23" s="2" customFormat="1" x14ac:dyDescent="0.35">
      <c r="C116" s="4">
        <f t="shared" si="44"/>
        <v>2023</v>
      </c>
      <c r="D116" s="18"/>
      <c r="E116" s="7"/>
      <c r="F116" s="7"/>
      <c r="G116" s="7">
        <f t="shared" ref="G116:J116" si="50">G86+G96+G106</f>
        <v>25</v>
      </c>
      <c r="H116" s="7">
        <f t="shared" si="50"/>
        <v>0</v>
      </c>
      <c r="I116" s="7">
        <f t="shared" si="50"/>
        <v>0</v>
      </c>
      <c r="J116" s="7">
        <f t="shared" si="50"/>
        <v>0</v>
      </c>
      <c r="K116" s="7"/>
      <c r="L116" s="7"/>
      <c r="M116" s="4">
        <f t="shared" si="46"/>
        <v>2023</v>
      </c>
      <c r="N116" s="18"/>
      <c r="O116" s="7"/>
      <c r="P116" s="7"/>
      <c r="Q116" s="7">
        <f t="shared" ref="Q116:T116" si="51">Q86+Q96+Q106</f>
        <v>23.558058363676114</v>
      </c>
      <c r="R116" s="7">
        <f t="shared" si="51"/>
        <v>0</v>
      </c>
      <c r="S116" s="7">
        <f t="shared" si="51"/>
        <v>0</v>
      </c>
      <c r="T116" s="7">
        <f t="shared" si="51"/>
        <v>0</v>
      </c>
      <c r="U116" s="7"/>
      <c r="W116" s="62" t="s">
        <v>135</v>
      </c>
    </row>
    <row r="117" spans="2:23" s="2" customFormat="1" x14ac:dyDescent="0.35">
      <c r="C117" s="4">
        <f t="shared" si="44"/>
        <v>2024</v>
      </c>
      <c r="D117" s="18"/>
      <c r="E117" s="7"/>
      <c r="F117" s="7"/>
      <c r="G117" s="7"/>
      <c r="H117" s="7">
        <f t="shared" ref="H117:J117" si="52">H87+H97+H107</f>
        <v>25</v>
      </c>
      <c r="I117" s="7">
        <f t="shared" si="52"/>
        <v>0</v>
      </c>
      <c r="J117" s="7">
        <f t="shared" si="52"/>
        <v>0</v>
      </c>
      <c r="K117" s="10" t="s">
        <v>4</v>
      </c>
      <c r="L117" s="7"/>
      <c r="M117" s="4">
        <f t="shared" si="46"/>
        <v>2024</v>
      </c>
      <c r="N117" s="18"/>
      <c r="O117" s="7"/>
      <c r="P117" s="7"/>
      <c r="Q117" s="7"/>
      <c r="R117" s="7">
        <f t="shared" ref="R117:T117" si="53">R87+R97+R107</f>
        <v>23.096135650662855</v>
      </c>
      <c r="S117" s="7">
        <f t="shared" si="53"/>
        <v>0</v>
      </c>
      <c r="T117" s="7">
        <f t="shared" si="53"/>
        <v>0</v>
      </c>
      <c r="U117" s="10" t="s">
        <v>4</v>
      </c>
      <c r="W117" s="62"/>
    </row>
    <row r="118" spans="2:23" s="2" customFormat="1" x14ac:dyDescent="0.35">
      <c r="C118" s="5" t="s">
        <v>4</v>
      </c>
      <c r="D118" s="8">
        <f t="shared" ref="D118:J118" si="54">SUM(D113:D117)</f>
        <v>55</v>
      </c>
      <c r="E118" s="8">
        <f t="shared" si="54"/>
        <v>25</v>
      </c>
      <c r="F118" s="8">
        <f t="shared" si="54"/>
        <v>25</v>
      </c>
      <c r="G118" s="8">
        <f t="shared" si="54"/>
        <v>25</v>
      </c>
      <c r="H118" s="8">
        <f t="shared" si="54"/>
        <v>25</v>
      </c>
      <c r="I118" s="8">
        <f t="shared" si="54"/>
        <v>0</v>
      </c>
      <c r="J118" s="8">
        <f t="shared" si="54"/>
        <v>0</v>
      </c>
      <c r="K118" s="12">
        <f>SUM(D118:J118)</f>
        <v>155</v>
      </c>
      <c r="L118" s="7"/>
      <c r="M118" s="5" t="s">
        <v>4</v>
      </c>
      <c r="N118" s="8">
        <f t="shared" ref="N118:T118" si="55">SUM(N113:N117)</f>
        <v>55</v>
      </c>
      <c r="O118" s="8">
        <f t="shared" si="55"/>
        <v>24.509803921568626</v>
      </c>
      <c r="P118" s="8">
        <f t="shared" si="55"/>
        <v>24.029219530949636</v>
      </c>
      <c r="Q118" s="8">
        <f t="shared" si="55"/>
        <v>23.558058363676114</v>
      </c>
      <c r="R118" s="8">
        <f t="shared" si="55"/>
        <v>23.096135650662855</v>
      </c>
      <c r="S118" s="8">
        <f t="shared" si="55"/>
        <v>0</v>
      </c>
      <c r="T118" s="8">
        <f t="shared" si="55"/>
        <v>0</v>
      </c>
      <c r="U118" s="12">
        <f>SUM(N118:T118)</f>
        <v>150.19321746685722</v>
      </c>
      <c r="W118" s="62"/>
    </row>
    <row r="119" spans="2:23" s="64" customFormat="1" x14ac:dyDescent="0.35">
      <c r="C119" s="69"/>
      <c r="D119" s="67"/>
      <c r="E119" s="67"/>
      <c r="F119" s="67"/>
      <c r="G119" s="67"/>
      <c r="H119" s="67"/>
      <c r="I119" s="67"/>
      <c r="J119" s="67"/>
      <c r="K119" s="67"/>
      <c r="L119" s="70"/>
      <c r="M119" s="67"/>
      <c r="W119" s="66"/>
    </row>
    <row r="120" spans="2:23" s="72" customFormat="1" ht="30.65" customHeight="1" x14ac:dyDescent="0.35">
      <c r="B120" s="72" t="s">
        <v>37</v>
      </c>
      <c r="C120" s="128" t="s">
        <v>385</v>
      </c>
      <c r="D120" s="128"/>
      <c r="E120" s="128"/>
      <c r="F120" s="128"/>
      <c r="G120" s="128"/>
      <c r="H120" s="128"/>
      <c r="I120" s="128"/>
      <c r="J120" s="128"/>
      <c r="K120" s="128"/>
      <c r="L120" s="74"/>
      <c r="M120" s="128" t="s">
        <v>386</v>
      </c>
      <c r="N120" s="128"/>
      <c r="O120" s="128"/>
      <c r="P120" s="128"/>
      <c r="Q120" s="128"/>
      <c r="R120" s="128"/>
      <c r="S120" s="128"/>
      <c r="T120" s="128"/>
      <c r="U120" s="128"/>
      <c r="W120" s="76"/>
    </row>
    <row r="121" spans="2:23" s="2" customFormat="1" x14ac:dyDescent="0.35">
      <c r="C121" s="4" t="s">
        <v>110</v>
      </c>
      <c r="D121" s="126" t="s">
        <v>0</v>
      </c>
      <c r="E121" s="126"/>
      <c r="F121" s="126"/>
      <c r="G121" s="126"/>
      <c r="H121" s="126"/>
      <c r="I121" s="126"/>
      <c r="J121" s="126"/>
      <c r="L121" s="10"/>
      <c r="M121" s="4" t="s">
        <v>110</v>
      </c>
      <c r="N121" s="126" t="s">
        <v>0</v>
      </c>
      <c r="O121" s="126"/>
      <c r="P121" s="126"/>
      <c r="Q121" s="126"/>
      <c r="R121" s="126"/>
      <c r="S121" s="126"/>
      <c r="T121" s="126"/>
      <c r="W121" s="62"/>
    </row>
    <row r="122" spans="2:23" s="2" customFormat="1" x14ac:dyDescent="0.35">
      <c r="C122" s="4" t="s">
        <v>1</v>
      </c>
      <c r="D122" s="5">
        <v>2020</v>
      </c>
      <c r="E122" s="5">
        <v>2021</v>
      </c>
      <c r="F122" s="5">
        <v>2022</v>
      </c>
      <c r="G122" s="5">
        <v>2023</v>
      </c>
      <c r="H122" s="5">
        <v>2024</v>
      </c>
      <c r="I122" s="5">
        <v>2025</v>
      </c>
      <c r="J122" s="5">
        <v>2026</v>
      </c>
      <c r="K122" s="6"/>
      <c r="L122" s="10"/>
      <c r="M122" s="4" t="s">
        <v>1</v>
      </c>
      <c r="N122" s="5">
        <v>2020</v>
      </c>
      <c r="O122" s="5">
        <v>2021</v>
      </c>
      <c r="P122" s="5">
        <v>2022</v>
      </c>
      <c r="Q122" s="5">
        <v>2023</v>
      </c>
      <c r="R122" s="5">
        <v>2024</v>
      </c>
      <c r="S122" s="5">
        <v>2025</v>
      </c>
      <c r="T122" s="5">
        <v>2026</v>
      </c>
      <c r="U122" s="6"/>
      <c r="W122" s="62" t="s">
        <v>163</v>
      </c>
    </row>
    <row r="123" spans="2:23" s="2" customFormat="1" x14ac:dyDescent="0.35">
      <c r="C123" s="4">
        <f>C154</f>
        <v>2020</v>
      </c>
      <c r="D123" s="7">
        <f>D83/3</f>
        <v>4.166666666666667</v>
      </c>
      <c r="E123" s="7">
        <f>D123</f>
        <v>4.166666666666667</v>
      </c>
      <c r="F123" s="7">
        <f>E123</f>
        <v>4.166666666666667</v>
      </c>
      <c r="G123" s="7">
        <v>0</v>
      </c>
      <c r="H123" s="7">
        <v>0</v>
      </c>
      <c r="I123" s="7">
        <v>0</v>
      </c>
      <c r="J123" s="7">
        <v>0</v>
      </c>
      <c r="K123" s="6"/>
      <c r="L123" s="10"/>
      <c r="M123" s="4">
        <f>M154</f>
        <v>2020</v>
      </c>
      <c r="N123" s="7">
        <f>N83/3</f>
        <v>4.166666666666667</v>
      </c>
      <c r="O123" s="7">
        <f>N123</f>
        <v>4.166666666666667</v>
      </c>
      <c r="P123" s="7">
        <f>O123</f>
        <v>4.166666666666667</v>
      </c>
      <c r="Q123" s="7">
        <v>0</v>
      </c>
      <c r="R123" s="7">
        <v>0</v>
      </c>
      <c r="S123" s="7">
        <v>0</v>
      </c>
      <c r="T123" s="7">
        <v>0</v>
      </c>
      <c r="U123" s="6"/>
      <c r="W123" s="62" t="s">
        <v>164</v>
      </c>
    </row>
    <row r="124" spans="2:23" s="2" customFormat="1" x14ac:dyDescent="0.35">
      <c r="C124" s="4">
        <f>C155</f>
        <v>2021</v>
      </c>
      <c r="D124" s="18"/>
      <c r="E124" s="7">
        <f>E84/3</f>
        <v>4.166666666666667</v>
      </c>
      <c r="F124" s="7">
        <f>E124</f>
        <v>4.166666666666667</v>
      </c>
      <c r="G124" s="7">
        <f>F124</f>
        <v>4.166666666666667</v>
      </c>
      <c r="H124" s="7">
        <v>0</v>
      </c>
      <c r="I124" s="7">
        <v>0</v>
      </c>
      <c r="J124" s="7">
        <v>0</v>
      </c>
      <c r="K124" s="6"/>
      <c r="L124" s="10"/>
      <c r="M124" s="4">
        <f>M155</f>
        <v>2021</v>
      </c>
      <c r="N124" s="18"/>
      <c r="O124" s="7">
        <f>O84/3</f>
        <v>4.0849673202614376</v>
      </c>
      <c r="P124" s="7">
        <f>O124</f>
        <v>4.0849673202614376</v>
      </c>
      <c r="Q124" s="7">
        <f>P124</f>
        <v>4.0849673202614376</v>
      </c>
      <c r="R124" s="7">
        <v>0</v>
      </c>
      <c r="S124" s="7">
        <v>0</v>
      </c>
      <c r="T124" s="7">
        <v>0</v>
      </c>
      <c r="U124" s="6"/>
      <c r="W124" s="62"/>
    </row>
    <row r="125" spans="2:23" s="2" customFormat="1" x14ac:dyDescent="0.35">
      <c r="C125" s="4">
        <f>C156</f>
        <v>2022</v>
      </c>
      <c r="D125" s="18"/>
      <c r="E125" s="18"/>
      <c r="F125" s="7">
        <f>F85/3</f>
        <v>4.166666666666667</v>
      </c>
      <c r="G125" s="7">
        <f>F125</f>
        <v>4.166666666666667</v>
      </c>
      <c r="H125" s="7">
        <f>G125</f>
        <v>4.166666666666667</v>
      </c>
      <c r="I125" s="7">
        <v>0</v>
      </c>
      <c r="J125" s="7">
        <v>0</v>
      </c>
      <c r="K125" s="6"/>
      <c r="L125" s="10"/>
      <c r="M125" s="4">
        <f>M156</f>
        <v>2022</v>
      </c>
      <c r="N125" s="18"/>
      <c r="O125" s="18"/>
      <c r="P125" s="7">
        <f>P85/3</f>
        <v>4.0048699218249393</v>
      </c>
      <c r="Q125" s="7">
        <f>P125</f>
        <v>4.0048699218249393</v>
      </c>
      <c r="R125" s="7">
        <f>Q125</f>
        <v>4.0048699218249393</v>
      </c>
      <c r="S125" s="7">
        <v>0</v>
      </c>
      <c r="T125" s="7">
        <v>0</v>
      </c>
      <c r="U125" s="6"/>
      <c r="W125" s="62" t="s">
        <v>165</v>
      </c>
    </row>
    <row r="126" spans="2:23" s="2" customFormat="1" x14ac:dyDescent="0.35">
      <c r="C126" s="4">
        <f>C157</f>
        <v>2023</v>
      </c>
      <c r="D126" s="18"/>
      <c r="E126" s="18"/>
      <c r="F126" s="18"/>
      <c r="G126" s="7">
        <f>G86/3</f>
        <v>4.166666666666667</v>
      </c>
      <c r="H126" s="7">
        <f>G126</f>
        <v>4.166666666666667</v>
      </c>
      <c r="I126" s="7">
        <f>H126</f>
        <v>4.166666666666667</v>
      </c>
      <c r="J126" s="7">
        <v>0</v>
      </c>
      <c r="K126" s="6"/>
      <c r="L126" s="10"/>
      <c r="M126" s="4">
        <f>M157</f>
        <v>2023</v>
      </c>
      <c r="N126" s="18"/>
      <c r="O126" s="18"/>
      <c r="P126" s="18"/>
      <c r="Q126" s="7">
        <f>Q86/3</f>
        <v>3.9263430606126857</v>
      </c>
      <c r="R126" s="7">
        <f>Q126</f>
        <v>3.9263430606126857</v>
      </c>
      <c r="S126" s="7">
        <f>R126</f>
        <v>3.9263430606126857</v>
      </c>
      <c r="T126" s="7">
        <v>0</v>
      </c>
      <c r="U126" s="6"/>
      <c r="W126" s="62" t="s">
        <v>166</v>
      </c>
    </row>
    <row r="127" spans="2:23" s="2" customFormat="1" x14ac:dyDescent="0.35">
      <c r="C127" s="4">
        <f>C158</f>
        <v>2024</v>
      </c>
      <c r="D127" s="18"/>
      <c r="E127" s="18"/>
      <c r="F127" s="18"/>
      <c r="G127" s="18"/>
      <c r="H127" s="7">
        <f>H87/3</f>
        <v>4.166666666666667</v>
      </c>
      <c r="I127" s="7">
        <f>H127</f>
        <v>4.166666666666667</v>
      </c>
      <c r="J127" s="7">
        <f>I127</f>
        <v>4.166666666666667</v>
      </c>
      <c r="K127" s="10" t="s">
        <v>4</v>
      </c>
      <c r="L127" s="10"/>
      <c r="M127" s="4">
        <f>M158</f>
        <v>2024</v>
      </c>
      <c r="N127" s="18"/>
      <c r="O127" s="18"/>
      <c r="P127" s="18"/>
      <c r="Q127" s="18"/>
      <c r="R127" s="7">
        <f>R87/3</f>
        <v>3.8493559417771426</v>
      </c>
      <c r="S127" s="7">
        <f>R127</f>
        <v>3.8493559417771426</v>
      </c>
      <c r="T127" s="7">
        <f>S127</f>
        <v>3.8493559417771426</v>
      </c>
      <c r="U127" s="10" t="s">
        <v>4</v>
      </c>
      <c r="W127" s="62" t="s">
        <v>167</v>
      </c>
    </row>
    <row r="128" spans="2:23" s="2" customFormat="1" x14ac:dyDescent="0.35">
      <c r="C128" s="5" t="s">
        <v>4</v>
      </c>
      <c r="D128" s="21">
        <f t="shared" ref="D128:J128" si="56">SUM(D123:D127)</f>
        <v>4.166666666666667</v>
      </c>
      <c r="E128" s="21">
        <f t="shared" si="56"/>
        <v>8.3333333333333339</v>
      </c>
      <c r="F128" s="21">
        <f t="shared" si="56"/>
        <v>12.5</v>
      </c>
      <c r="G128" s="21">
        <f t="shared" si="56"/>
        <v>12.5</v>
      </c>
      <c r="H128" s="21">
        <f t="shared" si="56"/>
        <v>12.5</v>
      </c>
      <c r="I128" s="21">
        <f t="shared" si="56"/>
        <v>8.3333333333333339</v>
      </c>
      <c r="J128" s="21">
        <f t="shared" si="56"/>
        <v>4.166666666666667</v>
      </c>
      <c r="K128" s="12">
        <f>SUM(D128:J128)</f>
        <v>62.5</v>
      </c>
      <c r="L128" s="10"/>
      <c r="M128" s="5" t="s">
        <v>4</v>
      </c>
      <c r="N128" s="21">
        <f t="shared" ref="N128:T128" si="57">SUM(N123:N127)</f>
        <v>4.166666666666667</v>
      </c>
      <c r="O128" s="21">
        <f t="shared" si="57"/>
        <v>8.2516339869281055</v>
      </c>
      <c r="P128" s="21">
        <f t="shared" si="57"/>
        <v>12.256503908753045</v>
      </c>
      <c r="Q128" s="21">
        <f t="shared" si="57"/>
        <v>12.016180302699063</v>
      </c>
      <c r="R128" s="21">
        <f t="shared" si="57"/>
        <v>11.780568924214768</v>
      </c>
      <c r="S128" s="21">
        <f t="shared" si="57"/>
        <v>7.7756990023898283</v>
      </c>
      <c r="T128" s="21">
        <f t="shared" si="57"/>
        <v>3.8493559417771426</v>
      </c>
      <c r="U128" s="12">
        <f>SUM(N128:T128)</f>
        <v>60.096608733428617</v>
      </c>
      <c r="W128" s="62"/>
    </row>
    <row r="129" spans="3:23" s="2" customFormat="1" x14ac:dyDescent="0.35">
      <c r="C129" s="6"/>
      <c r="D129" s="6"/>
      <c r="E129" s="6"/>
      <c r="F129" s="6"/>
      <c r="G129" s="6"/>
      <c r="H129" s="6"/>
      <c r="I129" s="6"/>
      <c r="J129" s="6"/>
      <c r="K129" s="6"/>
      <c r="L129" s="10"/>
      <c r="M129" s="6"/>
      <c r="W129" s="62"/>
    </row>
    <row r="130" spans="3:23" s="72" customFormat="1" ht="31.25" customHeight="1" x14ac:dyDescent="0.35">
      <c r="C130" s="125" t="s">
        <v>387</v>
      </c>
      <c r="D130" s="125"/>
      <c r="E130" s="125"/>
      <c r="F130" s="125"/>
      <c r="G130" s="125"/>
      <c r="H130" s="125"/>
      <c r="I130" s="125"/>
      <c r="J130" s="125"/>
      <c r="K130" s="125"/>
      <c r="L130" s="74"/>
      <c r="M130" s="125" t="s">
        <v>388</v>
      </c>
      <c r="N130" s="125"/>
      <c r="O130" s="125"/>
      <c r="P130" s="125"/>
      <c r="Q130" s="125"/>
      <c r="R130" s="125"/>
      <c r="S130" s="125"/>
      <c r="T130" s="125"/>
      <c r="U130" s="125"/>
      <c r="W130" s="77"/>
    </row>
    <row r="131" spans="3:23" s="2" customFormat="1" x14ac:dyDescent="0.35">
      <c r="C131" s="4" t="s">
        <v>110</v>
      </c>
      <c r="D131" s="126" t="s">
        <v>0</v>
      </c>
      <c r="E131" s="126"/>
      <c r="F131" s="126"/>
      <c r="G131" s="126"/>
      <c r="H131" s="126"/>
      <c r="I131" s="126"/>
      <c r="J131" s="126"/>
      <c r="L131" s="10"/>
      <c r="M131" s="4" t="s">
        <v>110</v>
      </c>
      <c r="N131" s="126" t="s">
        <v>0</v>
      </c>
      <c r="O131" s="126"/>
      <c r="P131" s="126"/>
      <c r="Q131" s="126"/>
      <c r="R131" s="126"/>
      <c r="S131" s="126"/>
      <c r="T131" s="126"/>
      <c r="W131" s="62" t="s">
        <v>168</v>
      </c>
    </row>
    <row r="132" spans="3:23" s="2" customFormat="1" x14ac:dyDescent="0.35">
      <c r="C132" s="4" t="s">
        <v>1</v>
      </c>
      <c r="D132" s="5">
        <v>2020</v>
      </c>
      <c r="E132" s="5">
        <v>2021</v>
      </c>
      <c r="F132" s="5">
        <v>2022</v>
      </c>
      <c r="G132" s="5">
        <v>2023</v>
      </c>
      <c r="H132" s="5">
        <v>2024</v>
      </c>
      <c r="I132" s="5">
        <v>2025</v>
      </c>
      <c r="J132" s="5">
        <v>2026</v>
      </c>
      <c r="K132" s="6"/>
      <c r="L132" s="10"/>
      <c r="M132" s="4" t="s">
        <v>1</v>
      </c>
      <c r="N132" s="5">
        <v>2020</v>
      </c>
      <c r="O132" s="5">
        <v>2021</v>
      </c>
      <c r="P132" s="5">
        <v>2022</v>
      </c>
      <c r="Q132" s="5">
        <v>2023</v>
      </c>
      <c r="R132" s="5">
        <v>2024</v>
      </c>
      <c r="S132" s="5">
        <v>2025</v>
      </c>
      <c r="T132" s="5">
        <v>2026</v>
      </c>
      <c r="U132" s="6"/>
      <c r="W132" s="62" t="s">
        <v>170</v>
      </c>
    </row>
    <row r="133" spans="3:23" s="2" customFormat="1" x14ac:dyDescent="0.35">
      <c r="C133" s="4">
        <f>C123</f>
        <v>2020</v>
      </c>
      <c r="D133" s="7">
        <f>D93/3</f>
        <v>4.166666666666667</v>
      </c>
      <c r="E133" s="7">
        <f>D133</f>
        <v>4.166666666666667</v>
      </c>
      <c r="F133" s="7">
        <f>E133</f>
        <v>4.166666666666667</v>
      </c>
      <c r="G133" s="7">
        <v>0</v>
      </c>
      <c r="H133" s="7">
        <v>0</v>
      </c>
      <c r="I133" s="7">
        <v>0</v>
      </c>
      <c r="J133" s="7">
        <v>0</v>
      </c>
      <c r="K133" s="6"/>
      <c r="L133" s="10"/>
      <c r="M133" s="4">
        <f>C133</f>
        <v>2020</v>
      </c>
      <c r="N133" s="7">
        <f>N93/3</f>
        <v>4.166666666666667</v>
      </c>
      <c r="O133" s="7">
        <f>N133</f>
        <v>4.166666666666667</v>
      </c>
      <c r="P133" s="7">
        <f>O133</f>
        <v>4.166666666666667</v>
      </c>
      <c r="Q133" s="7">
        <v>0</v>
      </c>
      <c r="R133" s="7">
        <v>0</v>
      </c>
      <c r="S133" s="7">
        <v>0</v>
      </c>
      <c r="T133" s="7">
        <v>0</v>
      </c>
      <c r="U133" s="6"/>
      <c r="W133" s="62"/>
    </row>
    <row r="134" spans="3:23" s="2" customFormat="1" x14ac:dyDescent="0.35">
      <c r="C134" s="4">
        <f>C124</f>
        <v>2021</v>
      </c>
      <c r="D134" s="18"/>
      <c r="E134" s="7">
        <f>E94/3</f>
        <v>4.166666666666667</v>
      </c>
      <c r="F134" s="7">
        <f>E134</f>
        <v>4.166666666666667</v>
      </c>
      <c r="G134" s="7">
        <f>F134</f>
        <v>4.166666666666667</v>
      </c>
      <c r="H134" s="7">
        <v>0</v>
      </c>
      <c r="I134" s="7">
        <v>0</v>
      </c>
      <c r="J134" s="7">
        <v>0</v>
      </c>
      <c r="K134" s="6"/>
      <c r="L134" s="10"/>
      <c r="M134" s="4">
        <f t="shared" ref="M134:M137" si="58">C134</f>
        <v>2021</v>
      </c>
      <c r="N134" s="18"/>
      <c r="O134" s="7">
        <f>O94/3</f>
        <v>4.0849673202614376</v>
      </c>
      <c r="P134" s="7">
        <f>O134</f>
        <v>4.0849673202614376</v>
      </c>
      <c r="Q134" s="7">
        <f>P134</f>
        <v>4.0849673202614376</v>
      </c>
      <c r="R134" s="7">
        <v>0</v>
      </c>
      <c r="S134" s="7">
        <v>0</v>
      </c>
      <c r="T134" s="7">
        <v>0</v>
      </c>
      <c r="U134" s="6"/>
      <c r="W134" s="62" t="s">
        <v>169</v>
      </c>
    </row>
    <row r="135" spans="3:23" s="2" customFormat="1" x14ac:dyDescent="0.35">
      <c r="C135" s="4">
        <f t="shared" ref="C135:C137" si="59">C125</f>
        <v>2022</v>
      </c>
      <c r="D135" s="18"/>
      <c r="E135" s="18"/>
      <c r="F135" s="7">
        <f>F95/3</f>
        <v>4.166666666666667</v>
      </c>
      <c r="G135" s="7">
        <f>F135</f>
        <v>4.166666666666667</v>
      </c>
      <c r="H135" s="7">
        <f>G135</f>
        <v>4.166666666666667</v>
      </c>
      <c r="I135" s="7">
        <v>0</v>
      </c>
      <c r="J135" s="7">
        <v>0</v>
      </c>
      <c r="K135" s="6"/>
      <c r="L135" s="10"/>
      <c r="M135" s="4">
        <f t="shared" si="58"/>
        <v>2022</v>
      </c>
      <c r="N135" s="18"/>
      <c r="O135" s="18"/>
      <c r="P135" s="7">
        <f>P95/3</f>
        <v>4.0048699218249393</v>
      </c>
      <c r="Q135" s="7">
        <f>P135</f>
        <v>4.0048699218249393</v>
      </c>
      <c r="R135" s="7">
        <f>Q135</f>
        <v>4.0048699218249393</v>
      </c>
      <c r="S135" s="7">
        <v>0</v>
      </c>
      <c r="T135" s="7">
        <v>0</v>
      </c>
      <c r="U135" s="6"/>
      <c r="W135" s="62" t="s">
        <v>171</v>
      </c>
    </row>
    <row r="136" spans="3:23" s="2" customFormat="1" x14ac:dyDescent="0.35">
      <c r="C136" s="4">
        <f t="shared" si="59"/>
        <v>2023</v>
      </c>
      <c r="D136" s="18"/>
      <c r="E136" s="18"/>
      <c r="F136" s="18"/>
      <c r="G136" s="7">
        <f>G96/3</f>
        <v>4.166666666666667</v>
      </c>
      <c r="H136" s="7">
        <f>G136</f>
        <v>4.166666666666667</v>
      </c>
      <c r="I136" s="7">
        <f>H136</f>
        <v>4.166666666666667</v>
      </c>
      <c r="J136" s="7">
        <v>0</v>
      </c>
      <c r="K136" s="6"/>
      <c r="L136" s="10"/>
      <c r="M136" s="4">
        <f t="shared" si="58"/>
        <v>2023</v>
      </c>
      <c r="N136" s="18"/>
      <c r="O136" s="18"/>
      <c r="P136" s="18"/>
      <c r="Q136" s="7">
        <f>Q96/3</f>
        <v>3.9263430606126857</v>
      </c>
      <c r="R136" s="7">
        <f>Q136</f>
        <v>3.9263430606126857</v>
      </c>
      <c r="S136" s="7">
        <f>R136</f>
        <v>3.9263430606126857</v>
      </c>
      <c r="T136" s="7">
        <v>0</v>
      </c>
      <c r="U136" s="6"/>
      <c r="W136" s="62" t="s">
        <v>167</v>
      </c>
    </row>
    <row r="137" spans="3:23" s="2" customFormat="1" x14ac:dyDescent="0.35">
      <c r="C137" s="4">
        <f t="shared" si="59"/>
        <v>2024</v>
      </c>
      <c r="D137" s="18"/>
      <c r="E137" s="18"/>
      <c r="F137" s="18"/>
      <c r="G137" s="18"/>
      <c r="H137" s="7">
        <f>H97/3</f>
        <v>4.166666666666667</v>
      </c>
      <c r="I137" s="7">
        <f>H137</f>
        <v>4.166666666666667</v>
      </c>
      <c r="J137" s="7">
        <f>I137</f>
        <v>4.166666666666667</v>
      </c>
      <c r="K137" s="10" t="s">
        <v>4</v>
      </c>
      <c r="L137" s="10"/>
      <c r="M137" s="4">
        <f t="shared" si="58"/>
        <v>2024</v>
      </c>
      <c r="N137" s="18"/>
      <c r="O137" s="18"/>
      <c r="P137" s="18"/>
      <c r="Q137" s="18"/>
      <c r="R137" s="7">
        <f>R97/3</f>
        <v>3.8493559417771426</v>
      </c>
      <c r="S137" s="7">
        <f>R137</f>
        <v>3.8493559417771426</v>
      </c>
      <c r="T137" s="7">
        <f>S137</f>
        <v>3.8493559417771426</v>
      </c>
      <c r="U137" s="10" t="s">
        <v>4</v>
      </c>
      <c r="W137" s="62"/>
    </row>
    <row r="138" spans="3:23" s="2" customFormat="1" x14ac:dyDescent="0.35">
      <c r="C138" s="5" t="s">
        <v>4</v>
      </c>
      <c r="D138" s="21">
        <f t="shared" ref="D138:J138" si="60">SUM(D133:D137)</f>
        <v>4.166666666666667</v>
      </c>
      <c r="E138" s="21">
        <f t="shared" si="60"/>
        <v>8.3333333333333339</v>
      </c>
      <c r="F138" s="21">
        <f t="shared" si="60"/>
        <v>12.5</v>
      </c>
      <c r="G138" s="21">
        <f t="shared" si="60"/>
        <v>12.5</v>
      </c>
      <c r="H138" s="21">
        <f t="shared" si="60"/>
        <v>12.5</v>
      </c>
      <c r="I138" s="21">
        <f t="shared" si="60"/>
        <v>8.3333333333333339</v>
      </c>
      <c r="J138" s="21">
        <f t="shared" si="60"/>
        <v>4.166666666666667</v>
      </c>
      <c r="K138" s="12">
        <f>SUM(D138:J138)</f>
        <v>62.5</v>
      </c>
      <c r="L138" s="10"/>
      <c r="M138" s="5" t="s">
        <v>4</v>
      </c>
      <c r="N138" s="21">
        <f t="shared" ref="N138:T138" si="61">SUM(N133:N137)</f>
        <v>4.166666666666667</v>
      </c>
      <c r="O138" s="21">
        <f t="shared" si="61"/>
        <v>8.2516339869281055</v>
      </c>
      <c r="P138" s="21">
        <f t="shared" si="61"/>
        <v>12.256503908753045</v>
      </c>
      <c r="Q138" s="21">
        <f t="shared" si="61"/>
        <v>12.016180302699063</v>
      </c>
      <c r="R138" s="21">
        <f t="shared" si="61"/>
        <v>11.780568924214768</v>
      </c>
      <c r="S138" s="21">
        <f t="shared" si="61"/>
        <v>7.7756990023898283</v>
      </c>
      <c r="T138" s="21">
        <f t="shared" si="61"/>
        <v>3.8493559417771426</v>
      </c>
      <c r="U138" s="12">
        <f>SUM(N138:T138)</f>
        <v>60.096608733428617</v>
      </c>
      <c r="W138" s="62"/>
    </row>
    <row r="139" spans="3:23" s="2" customFormat="1" x14ac:dyDescent="0.35">
      <c r="C139" s="6"/>
      <c r="D139" s="6"/>
      <c r="E139" s="6"/>
      <c r="F139" s="6"/>
      <c r="G139" s="6"/>
      <c r="H139" s="6"/>
      <c r="I139" s="6"/>
      <c r="J139" s="6"/>
      <c r="K139" s="6"/>
      <c r="L139" s="10"/>
      <c r="M139" s="6"/>
      <c r="W139" s="62"/>
    </row>
    <row r="140" spans="3:23" s="72" customFormat="1" ht="33" customHeight="1" x14ac:dyDescent="0.35">
      <c r="C140" s="125" t="s">
        <v>389</v>
      </c>
      <c r="D140" s="125"/>
      <c r="E140" s="125"/>
      <c r="F140" s="125"/>
      <c r="G140" s="125"/>
      <c r="H140" s="125"/>
      <c r="I140" s="125"/>
      <c r="J140" s="125"/>
      <c r="K140" s="125"/>
      <c r="L140" s="74"/>
      <c r="M140" s="125" t="s">
        <v>390</v>
      </c>
      <c r="N140" s="125"/>
      <c r="O140" s="125"/>
      <c r="P140" s="125"/>
      <c r="Q140" s="125"/>
      <c r="R140" s="125"/>
      <c r="S140" s="125"/>
      <c r="T140" s="125"/>
      <c r="U140" s="125"/>
      <c r="W140" s="77"/>
    </row>
    <row r="141" spans="3:23" s="2" customFormat="1" x14ac:dyDescent="0.35">
      <c r="C141" s="4" t="s">
        <v>110</v>
      </c>
      <c r="D141" s="126" t="s">
        <v>0</v>
      </c>
      <c r="E141" s="126"/>
      <c r="F141" s="126"/>
      <c r="G141" s="126"/>
      <c r="H141" s="126"/>
      <c r="I141" s="126"/>
      <c r="J141" s="126"/>
      <c r="L141" s="10"/>
      <c r="M141" s="4" t="s">
        <v>110</v>
      </c>
      <c r="N141" s="126" t="s">
        <v>0</v>
      </c>
      <c r="O141" s="126"/>
      <c r="P141" s="126"/>
      <c r="Q141" s="126"/>
      <c r="R141" s="126"/>
      <c r="S141" s="126"/>
      <c r="T141" s="126"/>
      <c r="W141" s="62" t="s">
        <v>172</v>
      </c>
    </row>
    <row r="142" spans="3:23" s="2" customFormat="1" x14ac:dyDescent="0.35">
      <c r="C142" s="4" t="s">
        <v>1</v>
      </c>
      <c r="D142" s="5">
        <v>2020</v>
      </c>
      <c r="E142" s="5">
        <v>2021</v>
      </c>
      <c r="F142" s="5">
        <v>2022</v>
      </c>
      <c r="G142" s="5">
        <v>2023</v>
      </c>
      <c r="H142" s="5">
        <v>2024</v>
      </c>
      <c r="I142" s="5">
        <v>2025</v>
      </c>
      <c r="J142" s="5">
        <v>2026</v>
      </c>
      <c r="K142" s="6"/>
      <c r="L142" s="10"/>
      <c r="M142" s="4" t="s">
        <v>1</v>
      </c>
      <c r="N142" s="5">
        <v>2020</v>
      </c>
      <c r="O142" s="5">
        <v>2021</v>
      </c>
      <c r="P142" s="5">
        <v>2022</v>
      </c>
      <c r="Q142" s="5">
        <v>2023</v>
      </c>
      <c r="R142" s="5">
        <v>2024</v>
      </c>
      <c r="S142" s="5">
        <v>2025</v>
      </c>
      <c r="T142" s="5">
        <v>2026</v>
      </c>
      <c r="U142" s="6"/>
      <c r="W142" s="62" t="s">
        <v>174</v>
      </c>
    </row>
    <row r="143" spans="3:23" s="2" customFormat="1" x14ac:dyDescent="0.35">
      <c r="C143" s="4">
        <f>C133</f>
        <v>2020</v>
      </c>
      <c r="D143" s="7">
        <f>$H$28*D63/SUM($D$63:$H$67)</f>
        <v>2.2823928606751323</v>
      </c>
      <c r="E143" s="7">
        <f>$H$28*E63/SUM($D$63:$H$67)</f>
        <v>2.0541535746076187</v>
      </c>
      <c r="F143" s="7">
        <f>$H$28*F63/SUM($D$63:$H$67)</f>
        <v>1.8487382171468569</v>
      </c>
      <c r="G143" s="7">
        <f>$H$28*G63/SUM($D$63:$H$67)</f>
        <v>1.6638643954321712</v>
      </c>
      <c r="H143" s="7">
        <f>$H$28*H63/SUM($D$63:$H$67)</f>
        <v>1.4974779558889544</v>
      </c>
      <c r="I143" s="7">
        <v>0</v>
      </c>
      <c r="J143" s="7">
        <v>0</v>
      </c>
      <c r="K143" s="6"/>
      <c r="L143" s="10"/>
      <c r="M143" s="4">
        <f>C143</f>
        <v>2020</v>
      </c>
      <c r="N143" s="7">
        <f>D143</f>
        <v>2.2823928606751323</v>
      </c>
      <c r="O143" s="7">
        <f t="shared" ref="O143:T143" si="62">E143</f>
        <v>2.0541535746076187</v>
      </c>
      <c r="P143" s="7">
        <f t="shared" si="62"/>
        <v>1.8487382171468569</v>
      </c>
      <c r="Q143" s="7">
        <f t="shared" si="62"/>
        <v>1.6638643954321712</v>
      </c>
      <c r="R143" s="7">
        <f t="shared" si="62"/>
        <v>1.4974779558889544</v>
      </c>
      <c r="S143" s="7">
        <f t="shared" si="62"/>
        <v>0</v>
      </c>
      <c r="T143" s="7">
        <f t="shared" si="62"/>
        <v>0</v>
      </c>
      <c r="U143" s="6"/>
      <c r="W143" s="62"/>
    </row>
    <row r="144" spans="3:23" s="2" customFormat="1" x14ac:dyDescent="0.35">
      <c r="C144" s="4">
        <f>C134</f>
        <v>2021</v>
      </c>
      <c r="D144" s="18"/>
      <c r="E144" s="7">
        <f>$H$28*E64/SUM($D$63:$H$67)</f>
        <v>2.2823928606751323</v>
      </c>
      <c r="F144" s="7">
        <f>$H$28*F64/SUM($D$63:$H$67)</f>
        <v>2.0541535746076187</v>
      </c>
      <c r="G144" s="7">
        <f>$H$28*G64/SUM($D$63:$H$67)</f>
        <v>1.8487382171468569</v>
      </c>
      <c r="H144" s="7">
        <f>$H$28*H64/SUM($D$63:$H$67)</f>
        <v>1.6638643954321712</v>
      </c>
      <c r="I144" s="7">
        <v>0</v>
      </c>
      <c r="J144" s="7">
        <v>0</v>
      </c>
      <c r="K144" s="6"/>
      <c r="L144" s="10"/>
      <c r="M144" s="4">
        <f t="shared" ref="M144:M147" si="63">C144</f>
        <v>2021</v>
      </c>
      <c r="N144" s="7"/>
      <c r="O144" s="7">
        <f t="shared" ref="O144" si="64">E144</f>
        <v>2.2823928606751323</v>
      </c>
      <c r="P144" s="7">
        <f t="shared" ref="P144:P145" si="65">F144</f>
        <v>2.0541535746076187</v>
      </c>
      <c r="Q144" s="7">
        <f t="shared" ref="Q144:Q146" si="66">G144</f>
        <v>1.8487382171468569</v>
      </c>
      <c r="R144" s="7">
        <f t="shared" ref="R144:R147" si="67">H144</f>
        <v>1.6638643954321712</v>
      </c>
      <c r="S144" s="7">
        <f t="shared" ref="S144:S147" si="68">I144</f>
        <v>0</v>
      </c>
      <c r="T144" s="7">
        <f t="shared" ref="T144:T147" si="69">J144</f>
        <v>0</v>
      </c>
      <c r="U144" s="6"/>
      <c r="W144" s="62" t="s">
        <v>173</v>
      </c>
    </row>
    <row r="145" spans="2:23" s="2" customFormat="1" x14ac:dyDescent="0.35">
      <c r="C145" s="4">
        <f t="shared" ref="C145:C147" si="70">C135</f>
        <v>2022</v>
      </c>
      <c r="D145" s="18"/>
      <c r="E145" s="18"/>
      <c r="F145" s="7">
        <f>$H$28*F65/SUM($D$63:$H$67)</f>
        <v>2.2823928606751323</v>
      </c>
      <c r="G145" s="7">
        <f>$H$28*G65/SUM($D$63:$H$67)</f>
        <v>2.0541535746076187</v>
      </c>
      <c r="H145" s="7">
        <f>$H$28*H65/SUM($D$63:$H$67)</f>
        <v>1.8487382171468569</v>
      </c>
      <c r="I145" s="7">
        <v>0</v>
      </c>
      <c r="J145" s="7">
        <v>0</v>
      </c>
      <c r="K145" s="6"/>
      <c r="L145" s="10"/>
      <c r="M145" s="4">
        <f t="shared" si="63"/>
        <v>2022</v>
      </c>
      <c r="N145" s="7"/>
      <c r="O145" s="7"/>
      <c r="P145" s="7">
        <f t="shared" si="65"/>
        <v>2.2823928606751323</v>
      </c>
      <c r="Q145" s="7">
        <f t="shared" si="66"/>
        <v>2.0541535746076187</v>
      </c>
      <c r="R145" s="7">
        <f t="shared" si="67"/>
        <v>1.8487382171468569</v>
      </c>
      <c r="S145" s="7">
        <f t="shared" si="68"/>
        <v>0</v>
      </c>
      <c r="T145" s="7">
        <f t="shared" si="69"/>
        <v>0</v>
      </c>
      <c r="U145" s="6"/>
      <c r="W145" s="62" t="s">
        <v>391</v>
      </c>
    </row>
    <row r="146" spans="2:23" s="2" customFormat="1" x14ac:dyDescent="0.35">
      <c r="C146" s="4">
        <f t="shared" si="70"/>
        <v>2023</v>
      </c>
      <c r="D146" s="18"/>
      <c r="E146" s="18"/>
      <c r="F146" s="18"/>
      <c r="G146" s="7">
        <f>$H$28*G66/SUM($D$63:$H$67)</f>
        <v>2.2823928606751323</v>
      </c>
      <c r="H146" s="7">
        <f>$H$28*H66/SUM($D$63:$H$67)</f>
        <v>2.0541535746076187</v>
      </c>
      <c r="I146" s="7">
        <v>0</v>
      </c>
      <c r="J146" s="7">
        <v>0</v>
      </c>
      <c r="K146" s="6"/>
      <c r="L146" s="10"/>
      <c r="M146" s="4">
        <f t="shared" si="63"/>
        <v>2023</v>
      </c>
      <c r="N146" s="7"/>
      <c r="O146" s="7"/>
      <c r="P146" s="7"/>
      <c r="Q146" s="7">
        <f t="shared" si="66"/>
        <v>2.2823928606751323</v>
      </c>
      <c r="R146" s="7">
        <f t="shared" si="67"/>
        <v>2.0541535746076187</v>
      </c>
      <c r="S146" s="7">
        <f t="shared" si="68"/>
        <v>0</v>
      </c>
      <c r="T146" s="7">
        <f t="shared" si="69"/>
        <v>0</v>
      </c>
      <c r="U146" s="6"/>
      <c r="W146" s="62" t="s">
        <v>167</v>
      </c>
    </row>
    <row r="147" spans="2:23" s="2" customFormat="1" x14ac:dyDescent="0.35">
      <c r="C147" s="4">
        <f t="shared" si="70"/>
        <v>2024</v>
      </c>
      <c r="D147" s="18"/>
      <c r="E147" s="18"/>
      <c r="F147" s="18"/>
      <c r="G147" s="18"/>
      <c r="H147" s="7">
        <f>$H$28*H67/SUM($D$63:$H$67)</f>
        <v>2.2823928606751323</v>
      </c>
      <c r="I147" s="7">
        <v>0</v>
      </c>
      <c r="J147" s="7">
        <f>I147</f>
        <v>0</v>
      </c>
      <c r="K147" s="10" t="s">
        <v>4</v>
      </c>
      <c r="L147" s="10"/>
      <c r="M147" s="4">
        <f t="shared" si="63"/>
        <v>2024</v>
      </c>
      <c r="N147" s="7"/>
      <c r="O147" s="7"/>
      <c r="P147" s="7"/>
      <c r="Q147" s="7"/>
      <c r="R147" s="7">
        <f t="shared" si="67"/>
        <v>2.2823928606751323</v>
      </c>
      <c r="S147" s="7">
        <f t="shared" si="68"/>
        <v>0</v>
      </c>
      <c r="T147" s="7">
        <f t="shared" si="69"/>
        <v>0</v>
      </c>
      <c r="U147" s="10" t="s">
        <v>4</v>
      </c>
      <c r="W147" s="62"/>
    </row>
    <row r="148" spans="2:23" s="2" customFormat="1" x14ac:dyDescent="0.35">
      <c r="C148" s="5" t="s">
        <v>4</v>
      </c>
      <c r="D148" s="21">
        <f t="shared" ref="D148:J148" si="71">SUM(D143:D147)</f>
        <v>2.2823928606751323</v>
      </c>
      <c r="E148" s="21">
        <f t="shared" si="71"/>
        <v>4.3365464352827505</v>
      </c>
      <c r="F148" s="21">
        <f t="shared" si="71"/>
        <v>6.1852846524296083</v>
      </c>
      <c r="G148" s="21">
        <f t="shared" si="71"/>
        <v>7.8491490478617791</v>
      </c>
      <c r="H148" s="21">
        <f t="shared" si="71"/>
        <v>9.3466270037507329</v>
      </c>
      <c r="I148" s="21">
        <f t="shared" si="71"/>
        <v>0</v>
      </c>
      <c r="J148" s="21">
        <f t="shared" si="71"/>
        <v>0</v>
      </c>
      <c r="K148" s="12">
        <f>SUM(D148:J148)</f>
        <v>30.000000000000004</v>
      </c>
      <c r="L148" s="10"/>
      <c r="M148" s="5" t="s">
        <v>4</v>
      </c>
      <c r="N148" s="21">
        <f t="shared" ref="N148:T148" si="72">SUM(N143:N147)</f>
        <v>2.2823928606751323</v>
      </c>
      <c r="O148" s="21">
        <f t="shared" si="72"/>
        <v>4.3365464352827505</v>
      </c>
      <c r="P148" s="21">
        <f t="shared" si="72"/>
        <v>6.1852846524296083</v>
      </c>
      <c r="Q148" s="21">
        <f t="shared" si="72"/>
        <v>7.8491490478617791</v>
      </c>
      <c r="R148" s="21">
        <f t="shared" si="72"/>
        <v>9.3466270037507329</v>
      </c>
      <c r="S148" s="21">
        <f t="shared" si="72"/>
        <v>0</v>
      </c>
      <c r="T148" s="21">
        <f t="shared" si="72"/>
        <v>0</v>
      </c>
      <c r="U148" s="12">
        <f>SUM(N148:T148)</f>
        <v>30.000000000000004</v>
      </c>
      <c r="W148" s="62"/>
    </row>
    <row r="149" spans="2:23" s="2" customFormat="1" x14ac:dyDescent="0.35">
      <c r="C149" s="9"/>
      <c r="D149" s="7"/>
      <c r="E149" s="7"/>
      <c r="F149" s="7"/>
      <c r="G149" s="7"/>
      <c r="H149" s="7"/>
      <c r="I149" s="7"/>
      <c r="J149" s="7"/>
      <c r="K149" s="7"/>
      <c r="L149" s="7"/>
      <c r="M149" s="7"/>
      <c r="N149" s="7"/>
      <c r="W149" s="62"/>
    </row>
    <row r="150" spans="2:23" s="64" customFormat="1" x14ac:dyDescent="0.35">
      <c r="C150" s="69"/>
      <c r="D150" s="67"/>
      <c r="E150" s="67"/>
      <c r="F150" s="67"/>
      <c r="G150" s="67"/>
      <c r="H150" s="67"/>
      <c r="I150" s="67"/>
      <c r="J150" s="67"/>
      <c r="K150" s="67"/>
      <c r="L150" s="67"/>
      <c r="M150" s="67"/>
      <c r="N150" s="67"/>
      <c r="W150" s="66"/>
    </row>
    <row r="151" spans="2:23" s="75" customFormat="1" ht="30" customHeight="1" x14ac:dyDescent="0.35">
      <c r="B151" s="75" t="s">
        <v>36</v>
      </c>
      <c r="C151" s="128" t="s">
        <v>392</v>
      </c>
      <c r="D151" s="128"/>
      <c r="E151" s="128"/>
      <c r="F151" s="128"/>
      <c r="G151" s="128"/>
      <c r="H151" s="128"/>
      <c r="I151" s="128"/>
      <c r="J151" s="128"/>
      <c r="K151" s="128"/>
      <c r="L151" s="72"/>
      <c r="M151" s="128" t="s">
        <v>393</v>
      </c>
      <c r="N151" s="128"/>
      <c r="O151" s="128"/>
      <c r="P151" s="128"/>
      <c r="Q151" s="128"/>
      <c r="R151" s="128"/>
      <c r="S151" s="128"/>
      <c r="T151" s="128"/>
      <c r="U151" s="128"/>
      <c r="W151" s="76"/>
    </row>
    <row r="152" spans="2:23" x14ac:dyDescent="0.35">
      <c r="C152" s="4" t="s">
        <v>110</v>
      </c>
      <c r="D152" s="126" t="s">
        <v>0</v>
      </c>
      <c r="E152" s="126"/>
      <c r="F152" s="126"/>
      <c r="G152" s="126"/>
      <c r="H152" s="126"/>
      <c r="I152" s="126"/>
      <c r="J152" s="126"/>
      <c r="K152" s="2"/>
      <c r="L152" s="2"/>
      <c r="M152" s="4" t="s">
        <v>110</v>
      </c>
      <c r="N152" s="126" t="s">
        <v>0</v>
      </c>
      <c r="O152" s="126"/>
      <c r="P152" s="126"/>
      <c r="Q152" s="126"/>
      <c r="R152" s="126"/>
      <c r="S152" s="126"/>
      <c r="T152" s="126"/>
      <c r="U152" s="2"/>
      <c r="W152" s="61" t="s">
        <v>175</v>
      </c>
    </row>
    <row r="153" spans="2:23" x14ac:dyDescent="0.35">
      <c r="C153" s="4" t="s">
        <v>1</v>
      </c>
      <c r="D153" s="5">
        <v>2020</v>
      </c>
      <c r="E153" s="5">
        <v>2021</v>
      </c>
      <c r="F153" s="5">
        <v>2022</v>
      </c>
      <c r="G153" s="5">
        <v>2023</v>
      </c>
      <c r="H153" s="5">
        <v>2024</v>
      </c>
      <c r="I153" s="5">
        <v>2025</v>
      </c>
      <c r="J153" s="5">
        <v>2026</v>
      </c>
      <c r="K153" s="6"/>
      <c r="L153" s="6"/>
      <c r="M153" s="4" t="s">
        <v>1</v>
      </c>
      <c r="N153" s="5">
        <v>2020</v>
      </c>
      <c r="O153" s="5">
        <v>2021</v>
      </c>
      <c r="P153" s="5">
        <v>2022</v>
      </c>
      <c r="Q153" s="5">
        <v>2023</v>
      </c>
      <c r="R153" s="5">
        <v>2024</v>
      </c>
      <c r="S153" s="5">
        <v>2025</v>
      </c>
      <c r="T153" s="5">
        <v>2026</v>
      </c>
      <c r="U153" s="6"/>
      <c r="W153" s="61" t="s">
        <v>176</v>
      </c>
    </row>
    <row r="154" spans="2:23" x14ac:dyDescent="0.35">
      <c r="C154" s="4">
        <f>C73</f>
        <v>2020</v>
      </c>
      <c r="D154" s="10">
        <f>D63-D73-D113</f>
        <v>-45</v>
      </c>
      <c r="E154" s="10">
        <f t="shared" ref="E154:J154" si="73">E63-E73-E113</f>
        <v>9</v>
      </c>
      <c r="F154" s="10">
        <f t="shared" si="73"/>
        <v>8.1000000000000014</v>
      </c>
      <c r="G154" s="10">
        <f t="shared" si="73"/>
        <v>7.2899999999999991</v>
      </c>
      <c r="H154" s="10">
        <f t="shared" si="73"/>
        <v>6.5609999999999999</v>
      </c>
      <c r="I154" s="10">
        <f t="shared" si="73"/>
        <v>5.9049000000000014</v>
      </c>
      <c r="J154" s="10">
        <f t="shared" si="73"/>
        <v>5.3144099999999987</v>
      </c>
      <c r="K154" s="10"/>
      <c r="L154" s="10"/>
      <c r="M154" s="4">
        <f>M73</f>
        <v>2020</v>
      </c>
      <c r="N154" s="10">
        <f t="shared" ref="N154:T154" si="74">N63-N73-N113</f>
        <v>-44.605901719066971</v>
      </c>
      <c r="O154" s="10">
        <f t="shared" si="74"/>
        <v>9.171263189058557</v>
      </c>
      <c r="P154" s="10">
        <f t="shared" si="74"/>
        <v>8.0922910491693152</v>
      </c>
      <c r="Q154" s="10">
        <f t="shared" si="74"/>
        <v>7.1402568080905695</v>
      </c>
      <c r="R154" s="10">
        <f t="shared" si="74"/>
        <v>6.3002265953740348</v>
      </c>
      <c r="S154" s="10">
        <f t="shared" si="74"/>
        <v>5.5590234665065026</v>
      </c>
      <c r="T154" s="10">
        <f t="shared" si="74"/>
        <v>4.9050207057410304</v>
      </c>
      <c r="U154" s="10"/>
    </row>
    <row r="155" spans="2:23" x14ac:dyDescent="0.35">
      <c r="C155" s="4">
        <f>C74</f>
        <v>2021</v>
      </c>
      <c r="D155" s="10"/>
      <c r="E155" s="10">
        <f t="shared" ref="E155:J155" si="75">E64-E74-E114</f>
        <v>-15</v>
      </c>
      <c r="F155" s="10">
        <f t="shared" si="75"/>
        <v>9</v>
      </c>
      <c r="G155" s="10">
        <f t="shared" si="75"/>
        <v>8.1000000000000014</v>
      </c>
      <c r="H155" s="10">
        <f t="shared" si="75"/>
        <v>7.2899999999999991</v>
      </c>
      <c r="I155" s="10">
        <f t="shared" si="75"/>
        <v>6.5609999999999999</v>
      </c>
      <c r="J155" s="10">
        <f t="shared" si="75"/>
        <v>5.9049000000000014</v>
      </c>
      <c r="K155" s="10"/>
      <c r="L155" s="10"/>
      <c r="M155" s="4">
        <f>M74</f>
        <v>2021</v>
      </c>
      <c r="N155" s="10"/>
      <c r="O155" s="10">
        <f t="shared" ref="O155:T155" si="76">O64-O74-O114</f>
        <v>-14.319511489281346</v>
      </c>
      <c r="P155" s="10">
        <f t="shared" si="76"/>
        <v>8.9914344990770161</v>
      </c>
      <c r="Q155" s="10">
        <f t="shared" si="76"/>
        <v>7.9336186756561879</v>
      </c>
      <c r="R155" s="10">
        <f t="shared" si="76"/>
        <v>7.0002517726378173</v>
      </c>
      <c r="S155" s="10">
        <f t="shared" si="76"/>
        <v>6.1766927405627783</v>
      </c>
      <c r="T155" s="10">
        <f t="shared" si="76"/>
        <v>5.4500230063789239</v>
      </c>
      <c r="U155" s="10"/>
      <c r="W155" s="61" t="s">
        <v>177</v>
      </c>
    </row>
    <row r="156" spans="2:23" x14ac:dyDescent="0.35">
      <c r="C156" s="4">
        <f>C75</f>
        <v>2022</v>
      </c>
      <c r="D156" s="10"/>
      <c r="E156" s="10"/>
      <c r="F156" s="10">
        <f>F65-F75-F115</f>
        <v>-15</v>
      </c>
      <c r="G156" s="10">
        <f>G65-G75-G115</f>
        <v>9</v>
      </c>
      <c r="H156" s="10">
        <f>H65-H75-H115</f>
        <v>8.1000000000000014</v>
      </c>
      <c r="I156" s="10">
        <f>I65-I75-I115</f>
        <v>7.2899999999999991</v>
      </c>
      <c r="J156" s="10">
        <f>J65-J75-J115</f>
        <v>6.5609999999999999</v>
      </c>
      <c r="K156" s="10"/>
      <c r="L156" s="10"/>
      <c r="M156" s="4">
        <f>M75</f>
        <v>2022</v>
      </c>
      <c r="N156" s="10"/>
      <c r="O156" s="10"/>
      <c r="P156" s="10">
        <f>P65-P75-P115</f>
        <v>-14.038736754197398</v>
      </c>
      <c r="Q156" s="10">
        <f>Q65-Q75-Q115</f>
        <v>8.8151318618402073</v>
      </c>
      <c r="R156" s="10">
        <f>R65-R75-R115</f>
        <v>7.7780575251531268</v>
      </c>
      <c r="S156" s="10">
        <f>S65-S75-S115</f>
        <v>6.8629919339586394</v>
      </c>
      <c r="T156" s="10">
        <f>T65-T75-T115</f>
        <v>6.055581118198802</v>
      </c>
      <c r="U156" s="10"/>
      <c r="W156" s="61" t="s">
        <v>178</v>
      </c>
    </row>
    <row r="157" spans="2:23" x14ac:dyDescent="0.35">
      <c r="C157" s="4">
        <f>C76</f>
        <v>2023</v>
      </c>
      <c r="D157" s="10"/>
      <c r="E157" s="10"/>
      <c r="F157" s="10"/>
      <c r="G157" s="10">
        <f>G66-G76-G116</f>
        <v>-15</v>
      </c>
      <c r="H157" s="10">
        <f>H66-H76-H116</f>
        <v>9</v>
      </c>
      <c r="I157" s="10">
        <f>I66-I76-I116</f>
        <v>8.1000000000000014</v>
      </c>
      <c r="J157" s="10">
        <f>J66-J76-J116</f>
        <v>7.2899999999999991</v>
      </c>
      <c r="K157" s="10"/>
      <c r="L157" s="10"/>
      <c r="M157" s="4">
        <f>M76</f>
        <v>2023</v>
      </c>
      <c r="N157" s="10"/>
      <c r="O157" s="10"/>
      <c r="P157" s="10"/>
      <c r="Q157" s="10">
        <f>Q66-Q76-Q116</f>
        <v>-13.763467406075879</v>
      </c>
      <c r="R157" s="10">
        <f>R66-R76-R116</f>
        <v>8.6422861390590313</v>
      </c>
      <c r="S157" s="10">
        <f>S66-S76-S116</f>
        <v>7.6255465932873783</v>
      </c>
      <c r="T157" s="10">
        <f>T66-T76-T116</f>
        <v>6.7284234646653367</v>
      </c>
      <c r="U157" s="10"/>
    </row>
    <row r="158" spans="2:23" x14ac:dyDescent="0.35">
      <c r="C158" s="4">
        <f>C77</f>
        <v>2024</v>
      </c>
      <c r="D158" s="10"/>
      <c r="E158" s="10"/>
      <c r="F158" s="10"/>
      <c r="G158" s="10"/>
      <c r="H158" s="10">
        <f>H67-H77-H117</f>
        <v>-15</v>
      </c>
      <c r="I158" s="10">
        <f>I67-I77-I117</f>
        <v>9</v>
      </c>
      <c r="J158" s="10">
        <f>J67-J77-J117</f>
        <v>8.1000000000000014</v>
      </c>
      <c r="K158" s="10" t="s">
        <v>4</v>
      </c>
      <c r="L158" s="10"/>
      <c r="M158" s="4">
        <f>M77</f>
        <v>2024</v>
      </c>
      <c r="N158" s="10"/>
      <c r="O158" s="10"/>
      <c r="P158" s="10"/>
      <c r="Q158" s="10"/>
      <c r="R158" s="10">
        <f>R67-R77-R117</f>
        <v>-13.493595496152825</v>
      </c>
      <c r="S158" s="10">
        <f>S67-S77-S117</f>
        <v>8.4728295480970885</v>
      </c>
      <c r="T158" s="10">
        <f>T67-T77-T117</f>
        <v>7.4760260718503737</v>
      </c>
      <c r="U158" s="10" t="s">
        <v>4</v>
      </c>
    </row>
    <row r="159" spans="2:23" x14ac:dyDescent="0.35">
      <c r="C159" s="5" t="s">
        <v>4</v>
      </c>
      <c r="D159" s="11">
        <f t="shared" ref="D159:J159" si="77">SUM(D154:D158)</f>
        <v>-45</v>
      </c>
      <c r="E159" s="11">
        <f t="shared" si="77"/>
        <v>-6</v>
      </c>
      <c r="F159" s="11">
        <f t="shared" si="77"/>
        <v>2.1000000000000014</v>
      </c>
      <c r="G159" s="11">
        <f t="shared" si="77"/>
        <v>9.39</v>
      </c>
      <c r="H159" s="11">
        <f t="shared" si="77"/>
        <v>15.951000000000001</v>
      </c>
      <c r="I159" s="11">
        <f t="shared" si="77"/>
        <v>36.855900000000005</v>
      </c>
      <c r="J159" s="11">
        <f t="shared" si="77"/>
        <v>33.170310000000001</v>
      </c>
      <c r="K159" s="12">
        <f>SUM(D159:J159)</f>
        <v>46.467210000000009</v>
      </c>
      <c r="L159" s="10"/>
      <c r="M159" s="5" t="s">
        <v>4</v>
      </c>
      <c r="N159" s="11">
        <f t="shared" ref="N159:T159" si="78">SUM(N154:N158)</f>
        <v>-44.605901719066971</v>
      </c>
      <c r="O159" s="11">
        <f t="shared" si="78"/>
        <v>-5.1482483002227895</v>
      </c>
      <c r="P159" s="11">
        <f t="shared" si="78"/>
        <v>3.0449887940489333</v>
      </c>
      <c r="Q159" s="11">
        <f t="shared" si="78"/>
        <v>10.125539939511086</v>
      </c>
      <c r="R159" s="11">
        <f t="shared" si="78"/>
        <v>16.227226536071186</v>
      </c>
      <c r="S159" s="11">
        <f t="shared" si="78"/>
        <v>34.697084282412391</v>
      </c>
      <c r="T159" s="11">
        <f t="shared" si="78"/>
        <v>30.615074366834467</v>
      </c>
      <c r="U159" s="12">
        <f>SUM(N159:T159)</f>
        <v>44.955763899588305</v>
      </c>
    </row>
    <row r="160" spans="2:23" s="2" customFormat="1" x14ac:dyDescent="0.35">
      <c r="C160" s="6"/>
      <c r="D160" s="6"/>
      <c r="E160" s="6"/>
      <c r="F160" s="6"/>
      <c r="G160" s="6"/>
      <c r="H160" s="6"/>
      <c r="I160" s="6"/>
      <c r="J160" s="6"/>
      <c r="K160" s="6"/>
      <c r="L160" s="10"/>
      <c r="M160" s="6"/>
      <c r="W160" s="62"/>
    </row>
    <row r="161" spans="3:23" s="2" customFormat="1" ht="34.25" customHeight="1" x14ac:dyDescent="0.35">
      <c r="C161" s="125" t="s">
        <v>394</v>
      </c>
      <c r="D161" s="125"/>
      <c r="E161" s="125"/>
      <c r="F161" s="125"/>
      <c r="G161" s="125"/>
      <c r="H161" s="125"/>
      <c r="I161" s="125"/>
      <c r="J161" s="125"/>
      <c r="K161" s="125"/>
      <c r="L161" s="74"/>
      <c r="M161" s="125" t="s">
        <v>395</v>
      </c>
      <c r="N161" s="125"/>
      <c r="O161" s="125"/>
      <c r="P161" s="125"/>
      <c r="Q161" s="125"/>
      <c r="R161" s="125"/>
      <c r="S161" s="125"/>
      <c r="T161" s="125"/>
      <c r="U161" s="125"/>
      <c r="W161" s="62"/>
    </row>
    <row r="162" spans="3:23" s="2" customFormat="1" x14ac:dyDescent="0.35">
      <c r="C162" s="4" t="s">
        <v>110</v>
      </c>
      <c r="D162" s="126" t="s">
        <v>0</v>
      </c>
      <c r="E162" s="126"/>
      <c r="F162" s="126"/>
      <c r="G162" s="126"/>
      <c r="H162" s="126"/>
      <c r="I162" s="126"/>
      <c r="J162" s="126"/>
      <c r="L162" s="10"/>
      <c r="M162" s="4" t="s">
        <v>110</v>
      </c>
      <c r="N162" s="126" t="s">
        <v>0</v>
      </c>
      <c r="O162" s="126"/>
      <c r="P162" s="126"/>
      <c r="Q162" s="126"/>
      <c r="R162" s="126"/>
      <c r="S162" s="126"/>
      <c r="T162" s="126"/>
      <c r="W162" s="61" t="s">
        <v>179</v>
      </c>
    </row>
    <row r="163" spans="3:23" s="2" customFormat="1" x14ac:dyDescent="0.35">
      <c r="C163" s="4" t="s">
        <v>1</v>
      </c>
      <c r="D163" s="5">
        <v>2020</v>
      </c>
      <c r="E163" s="5">
        <v>2021</v>
      </c>
      <c r="F163" s="5">
        <v>2022</v>
      </c>
      <c r="G163" s="5">
        <v>2023</v>
      </c>
      <c r="H163" s="5">
        <v>2024</v>
      </c>
      <c r="I163" s="5">
        <v>2025</v>
      </c>
      <c r="J163" s="5">
        <v>2026</v>
      </c>
      <c r="K163" s="6"/>
      <c r="L163" s="10"/>
      <c r="M163" s="4" t="s">
        <v>1</v>
      </c>
      <c r="N163" s="5">
        <v>2020</v>
      </c>
      <c r="O163" s="5">
        <v>2021</v>
      </c>
      <c r="P163" s="5">
        <v>2022</v>
      </c>
      <c r="Q163" s="5">
        <v>2023</v>
      </c>
      <c r="R163" s="5">
        <v>2024</v>
      </c>
      <c r="S163" s="5">
        <v>2025</v>
      </c>
      <c r="T163" s="5">
        <v>2026</v>
      </c>
      <c r="U163" s="6"/>
      <c r="W163" s="61" t="s">
        <v>181</v>
      </c>
    </row>
    <row r="164" spans="3:23" s="2" customFormat="1" x14ac:dyDescent="0.35">
      <c r="C164" s="4">
        <f>C143</f>
        <v>2020</v>
      </c>
      <c r="D164" s="10">
        <f>D63-D73-D123-D133-D143</f>
        <v>-0.61572619400846618</v>
      </c>
      <c r="E164" s="10">
        <f t="shared" ref="E164:I164" si="79">E63-E73-E123-E133-E143</f>
        <v>-1.3874869079409526</v>
      </c>
      <c r="F164" s="10">
        <f t="shared" si="79"/>
        <v>-2.0820715504801894</v>
      </c>
      <c r="G164" s="10">
        <f t="shared" si="79"/>
        <v>5.6261356045678284</v>
      </c>
      <c r="H164" s="10">
        <f t="shared" si="79"/>
        <v>5.0635220441110453</v>
      </c>
      <c r="I164" s="10">
        <f t="shared" si="79"/>
        <v>5.9049000000000014</v>
      </c>
      <c r="J164" s="10">
        <f>J63-J73-J123-J133-J143</f>
        <v>5.3144099999999987</v>
      </c>
      <c r="K164" s="6"/>
      <c r="L164" s="10"/>
      <c r="M164" s="4">
        <f>C164</f>
        <v>2020</v>
      </c>
      <c r="N164" s="10">
        <f t="shared" ref="N164:T164" si="80">N63-N73-N123-N133-N143</f>
        <v>-0.22162791307543683</v>
      </c>
      <c r="O164" s="10">
        <f t="shared" si="80"/>
        <v>-1.2162237188823957</v>
      </c>
      <c r="P164" s="10">
        <f t="shared" si="80"/>
        <v>-2.0897805013108757</v>
      </c>
      <c r="Q164" s="10">
        <f t="shared" si="80"/>
        <v>5.4763924126583987</v>
      </c>
      <c r="R164" s="10">
        <f t="shared" si="80"/>
        <v>4.8027486394850802</v>
      </c>
      <c r="S164" s="10">
        <f t="shared" si="80"/>
        <v>5.5590234665065026</v>
      </c>
      <c r="T164" s="10">
        <f t="shared" si="80"/>
        <v>4.9050207057410304</v>
      </c>
      <c r="U164" s="6"/>
      <c r="W164" s="61"/>
    </row>
    <row r="165" spans="3:23" s="2" customFormat="1" x14ac:dyDescent="0.35">
      <c r="C165" s="4">
        <f>C144</f>
        <v>2021</v>
      </c>
      <c r="D165" s="111"/>
      <c r="E165" s="10">
        <f t="shared" ref="E165:J165" si="81">E64-E74-E124-E134-E144</f>
        <v>-0.61572619400846618</v>
      </c>
      <c r="F165" s="10">
        <f t="shared" si="81"/>
        <v>-1.3874869079409526</v>
      </c>
      <c r="G165" s="10">
        <f t="shared" si="81"/>
        <v>-2.0820715504801894</v>
      </c>
      <c r="H165" s="10">
        <f t="shared" si="81"/>
        <v>5.6261356045678284</v>
      </c>
      <c r="I165" s="10">
        <f t="shared" si="81"/>
        <v>6.5609999999999999</v>
      </c>
      <c r="J165" s="10">
        <f t="shared" si="81"/>
        <v>5.9049000000000014</v>
      </c>
      <c r="K165" s="6"/>
      <c r="L165" s="10"/>
      <c r="M165" s="4">
        <f t="shared" ref="M165:M168" si="82">C165</f>
        <v>2021</v>
      </c>
      <c r="N165" s="111"/>
      <c r="O165" s="10">
        <f t="shared" ref="O165:T165" si="83">O64-O74-O124-O134-O144</f>
        <v>-0.26203506891072825</v>
      </c>
      <c r="P165" s="10">
        <f t="shared" si="83"/>
        <v>-1.2326537160534778</v>
      </c>
      <c r="Q165" s="10">
        <f t="shared" si="83"/>
        <v>-2.0850541820135442</v>
      </c>
      <c r="R165" s="10">
        <f t="shared" si="83"/>
        <v>5.3363873772056465</v>
      </c>
      <c r="S165" s="10">
        <f t="shared" si="83"/>
        <v>6.1766927405627783</v>
      </c>
      <c r="T165" s="10">
        <f t="shared" si="83"/>
        <v>5.4500230063789239</v>
      </c>
      <c r="U165" s="6"/>
      <c r="W165" s="61" t="s">
        <v>180</v>
      </c>
    </row>
    <row r="166" spans="3:23" s="2" customFormat="1" x14ac:dyDescent="0.35">
      <c r="C166" s="4">
        <f>C145</f>
        <v>2022</v>
      </c>
      <c r="D166" s="111"/>
      <c r="E166" s="111"/>
      <c r="F166" s="10">
        <f>F65-F75-F125-F135-F145</f>
        <v>-0.61572619400846618</v>
      </c>
      <c r="G166" s="10">
        <f>G65-G75-G125-G135-G145</f>
        <v>-1.3874869079409526</v>
      </c>
      <c r="H166" s="10">
        <f>H65-H75-H125-H135-H145</f>
        <v>-2.0820715504801894</v>
      </c>
      <c r="I166" s="10">
        <f>I65-I75-I125-I135-I145</f>
        <v>7.2899999999999991</v>
      </c>
      <c r="J166" s="10">
        <f>J65-J75-J125-J135-J145</f>
        <v>6.5609999999999999</v>
      </c>
      <c r="K166" s="6"/>
      <c r="L166" s="10"/>
      <c r="M166" s="4">
        <f t="shared" si="82"/>
        <v>2022</v>
      </c>
      <c r="N166" s="111"/>
      <c r="O166" s="111"/>
      <c r="P166" s="10">
        <f>P65-P75-P125-P135-P145</f>
        <v>-0.30164992757277309</v>
      </c>
      <c r="Q166" s="10">
        <f>Q65-Q75-Q125-Q135-Q145</f>
        <v>-1.24876155641729</v>
      </c>
      <c r="R166" s="10">
        <f>R65-R75-R125-R135-R145</f>
        <v>-2.0804205356436087</v>
      </c>
      <c r="S166" s="10">
        <f>S65-S75-S125-S135-S145</f>
        <v>6.8629919339586394</v>
      </c>
      <c r="T166" s="10">
        <f>T65-T75-T125-T135-T145</f>
        <v>6.055581118198802</v>
      </c>
      <c r="U166" s="6"/>
      <c r="W166" s="61" t="s">
        <v>182</v>
      </c>
    </row>
    <row r="167" spans="3:23" s="2" customFormat="1" x14ac:dyDescent="0.35">
      <c r="C167" s="4">
        <f>C146</f>
        <v>2023</v>
      </c>
      <c r="D167" s="111"/>
      <c r="E167" s="111"/>
      <c r="F167" s="111"/>
      <c r="G167" s="10">
        <f>G66-G76-G126-G136-G146</f>
        <v>-0.61572619400846618</v>
      </c>
      <c r="H167" s="10">
        <f>H66-H76-H126-H136-H146</f>
        <v>-1.3874869079409526</v>
      </c>
      <c r="I167" s="10">
        <f>I66-I76-I126-I136-I146</f>
        <v>-0.2333333333333325</v>
      </c>
      <c r="J167" s="10">
        <f>J66-J76-J126-J136-J146</f>
        <v>7.2899999999999991</v>
      </c>
      <c r="K167" s="6"/>
      <c r="L167" s="10"/>
      <c r="M167" s="4">
        <f t="shared" si="82"/>
        <v>2023</v>
      </c>
      <c r="N167" s="111"/>
      <c r="O167" s="111"/>
      <c r="P167" s="111"/>
      <c r="Q167" s="10">
        <f>Q66-Q76-Q126-Q136-Q146</f>
        <v>-0.34048802430026859</v>
      </c>
      <c r="R167" s="10">
        <f>R66-R76-R126-R136-R146</f>
        <v>-1.2645535567739588</v>
      </c>
      <c r="S167" s="10">
        <f>S66-S76-S126-S136-S146</f>
        <v>-0.22713952793799308</v>
      </c>
      <c r="T167" s="10">
        <f>T66-T76-T126-T136-T146</f>
        <v>6.7284234646653367</v>
      </c>
      <c r="U167" s="6"/>
      <c r="W167" s="62"/>
    </row>
    <row r="168" spans="3:23" s="2" customFormat="1" x14ac:dyDescent="0.35">
      <c r="C168" s="4">
        <f>C147</f>
        <v>2024</v>
      </c>
      <c r="D168" s="111"/>
      <c r="E168" s="111"/>
      <c r="F168" s="111"/>
      <c r="G168" s="111"/>
      <c r="H168" s="10">
        <f>H67-H77-H127-H137-H147</f>
        <v>-0.61572619400846618</v>
      </c>
      <c r="I168" s="10">
        <f>I67-I77-I127-I137-I147</f>
        <v>0.66666666666666607</v>
      </c>
      <c r="J168" s="10">
        <f>J67-J77-J127-J137-J147</f>
        <v>-0.2333333333333325</v>
      </c>
      <c r="K168" s="10" t="s">
        <v>4</v>
      </c>
      <c r="L168" s="10"/>
      <c r="M168" s="4">
        <f t="shared" si="82"/>
        <v>2024</v>
      </c>
      <c r="N168" s="111"/>
      <c r="O168" s="111"/>
      <c r="P168" s="111"/>
      <c r="Q168" s="111"/>
      <c r="R168" s="10">
        <f>R67-R77-R127-R137-R147</f>
        <v>-0.37856458971938656</v>
      </c>
      <c r="S168" s="10">
        <f>S67-S77-S127-S137-S147</f>
        <v>0.7741176645428034</v>
      </c>
      <c r="T168" s="10">
        <f>T67-T77-T127-T137-T147</f>
        <v>-0.22268581170391144</v>
      </c>
      <c r="U168" s="10" t="s">
        <v>4</v>
      </c>
      <c r="W168" s="62"/>
    </row>
    <row r="169" spans="3:23" s="2" customFormat="1" x14ac:dyDescent="0.35">
      <c r="C169" s="5" t="s">
        <v>4</v>
      </c>
      <c r="D169" s="112">
        <f t="shared" ref="D169:J169" si="84">SUM(D164:D168)</f>
        <v>-0.61572619400846618</v>
      </c>
      <c r="E169" s="112">
        <f t="shared" si="84"/>
        <v>-2.0032131019494188</v>
      </c>
      <c r="F169" s="112">
        <f t="shared" si="84"/>
        <v>-4.0852846524296087</v>
      </c>
      <c r="G169" s="112">
        <f t="shared" si="84"/>
        <v>1.5408509521382201</v>
      </c>
      <c r="H169" s="112">
        <f t="shared" si="84"/>
        <v>6.6043729962492659</v>
      </c>
      <c r="I169" s="112">
        <f t="shared" si="84"/>
        <v>20.189233333333334</v>
      </c>
      <c r="J169" s="112">
        <f t="shared" si="84"/>
        <v>24.836976666666665</v>
      </c>
      <c r="K169" s="12">
        <f>SUM(D169:J169)</f>
        <v>46.467209999999994</v>
      </c>
      <c r="L169" s="10"/>
      <c r="M169" s="5" t="s">
        <v>4</v>
      </c>
      <c r="N169" s="112">
        <f t="shared" ref="N169:T169" si="85">SUM(N164:N168)</f>
        <v>-0.22162791307543683</v>
      </c>
      <c r="O169" s="112">
        <f t="shared" si="85"/>
        <v>-1.4782587877931239</v>
      </c>
      <c r="P169" s="112">
        <f t="shared" si="85"/>
        <v>-3.6240841449371266</v>
      </c>
      <c r="Q169" s="112">
        <f t="shared" si="85"/>
        <v>1.8020886499272959</v>
      </c>
      <c r="R169" s="112">
        <f t="shared" si="85"/>
        <v>6.4155973345537749</v>
      </c>
      <c r="S169" s="112">
        <f t="shared" si="85"/>
        <v>19.145686277632731</v>
      </c>
      <c r="T169" s="112">
        <f t="shared" si="85"/>
        <v>22.916362483280182</v>
      </c>
      <c r="U169" s="12">
        <f>SUM(N169:T169)</f>
        <v>44.955763899588291</v>
      </c>
      <c r="W169" s="62"/>
    </row>
    <row r="170" spans="3:23" s="2" customFormat="1" x14ac:dyDescent="0.35">
      <c r="C170" s="6"/>
      <c r="D170" s="6"/>
      <c r="E170" s="6"/>
      <c r="F170" s="6"/>
      <c r="G170" s="6"/>
      <c r="H170" s="6"/>
      <c r="I170" s="6"/>
      <c r="J170" s="6"/>
      <c r="K170" s="6"/>
      <c r="L170" s="10"/>
      <c r="M170" s="6"/>
      <c r="W170" s="62"/>
    </row>
    <row r="171" spans="3:23" s="2" customFormat="1" ht="28.75" customHeight="1" x14ac:dyDescent="0.35">
      <c r="C171" s="123" t="s">
        <v>396</v>
      </c>
      <c r="D171" s="72"/>
      <c r="E171" s="72"/>
      <c r="F171" s="72"/>
      <c r="G171" s="72"/>
      <c r="H171" s="72"/>
      <c r="I171" s="124"/>
      <c r="J171" s="72"/>
      <c r="K171" s="72"/>
      <c r="L171" s="10"/>
      <c r="M171" s="125" t="s">
        <v>397</v>
      </c>
      <c r="N171" s="125"/>
      <c r="O171" s="125"/>
      <c r="P171" s="125"/>
      <c r="Q171" s="125"/>
      <c r="R171" s="125"/>
      <c r="S171" s="125"/>
      <c r="T171" s="125"/>
      <c r="U171" s="125"/>
      <c r="W171" s="62"/>
    </row>
    <row r="172" spans="3:23" s="2" customFormat="1" x14ac:dyDescent="0.35">
      <c r="C172" s="4" t="s">
        <v>110</v>
      </c>
      <c r="D172" s="126" t="s">
        <v>0</v>
      </c>
      <c r="E172" s="126"/>
      <c r="F172" s="126"/>
      <c r="G172" s="126"/>
      <c r="H172" s="126"/>
      <c r="I172" s="126"/>
      <c r="J172" s="126"/>
      <c r="L172" s="10"/>
      <c r="M172" s="4" t="s">
        <v>110</v>
      </c>
      <c r="N172" s="126" t="s">
        <v>0</v>
      </c>
      <c r="O172" s="126"/>
      <c r="P172" s="126"/>
      <c r="Q172" s="126"/>
      <c r="R172" s="126"/>
      <c r="S172" s="126"/>
      <c r="T172" s="126"/>
      <c r="W172" s="61" t="s">
        <v>183</v>
      </c>
    </row>
    <row r="173" spans="3:23" x14ac:dyDescent="0.35">
      <c r="C173" s="4" t="s">
        <v>1</v>
      </c>
      <c r="D173" s="5">
        <v>2020</v>
      </c>
      <c r="E173" s="5">
        <v>2021</v>
      </c>
      <c r="F173" s="5">
        <v>2022</v>
      </c>
      <c r="G173" s="5">
        <v>2023</v>
      </c>
      <c r="H173" s="5">
        <v>2024</v>
      </c>
      <c r="I173" s="5">
        <v>2025</v>
      </c>
      <c r="J173" s="5">
        <v>2026</v>
      </c>
      <c r="K173" s="6"/>
      <c r="L173" s="10"/>
      <c r="M173" s="4" t="s">
        <v>1</v>
      </c>
      <c r="N173" s="5">
        <v>2020</v>
      </c>
      <c r="O173" s="5">
        <v>2021</v>
      </c>
      <c r="P173" s="5">
        <v>2022</v>
      </c>
      <c r="Q173" s="5">
        <v>2023</v>
      </c>
      <c r="R173" s="5">
        <v>2024</v>
      </c>
      <c r="S173" s="5">
        <v>2025</v>
      </c>
      <c r="T173" s="5">
        <v>2026</v>
      </c>
      <c r="U173" s="6"/>
      <c r="W173" s="61" t="s">
        <v>185</v>
      </c>
    </row>
    <row r="174" spans="3:23" x14ac:dyDescent="0.35">
      <c r="C174" s="4">
        <f>C164</f>
        <v>2020</v>
      </c>
      <c r="D174" s="7">
        <f>D63-D73</f>
        <v>10</v>
      </c>
      <c r="E174" s="7">
        <f t="shared" ref="E174:J174" si="86">E63-E73</f>
        <v>9</v>
      </c>
      <c r="F174" s="7">
        <f t="shared" si="86"/>
        <v>8.1000000000000014</v>
      </c>
      <c r="G174" s="7">
        <f t="shared" si="86"/>
        <v>7.2899999999999991</v>
      </c>
      <c r="H174" s="7">
        <f t="shared" si="86"/>
        <v>6.5609999999999999</v>
      </c>
      <c r="I174" s="7">
        <f t="shared" si="86"/>
        <v>5.9049000000000014</v>
      </c>
      <c r="J174" s="7">
        <f t="shared" si="86"/>
        <v>5.3144099999999987</v>
      </c>
      <c r="K174" s="6"/>
      <c r="L174" s="10"/>
      <c r="M174" s="4">
        <f>C174</f>
        <v>2020</v>
      </c>
      <c r="N174" s="7">
        <f>N63-N73</f>
        <v>10.394098280933029</v>
      </c>
      <c r="O174" s="7">
        <f t="shared" ref="O174:T174" si="87">O63-O73</f>
        <v>9.171263189058557</v>
      </c>
      <c r="P174" s="7">
        <f t="shared" si="87"/>
        <v>8.0922910491693152</v>
      </c>
      <c r="Q174" s="7">
        <f t="shared" si="87"/>
        <v>7.1402568080905695</v>
      </c>
      <c r="R174" s="7">
        <f t="shared" si="87"/>
        <v>6.3002265953740348</v>
      </c>
      <c r="S174" s="7">
        <f t="shared" si="87"/>
        <v>5.5590234665065026</v>
      </c>
      <c r="T174" s="7">
        <f t="shared" si="87"/>
        <v>4.9050207057410304</v>
      </c>
      <c r="U174" s="6"/>
    </row>
    <row r="175" spans="3:23" x14ac:dyDescent="0.35">
      <c r="C175" s="4">
        <f t="shared" ref="C175:C178" si="88">C165</f>
        <v>2021</v>
      </c>
      <c r="D175" s="18"/>
      <c r="E175" s="7">
        <f t="shared" ref="E175:J175" si="89">E64-E74</f>
        <v>10</v>
      </c>
      <c r="F175" s="7">
        <f t="shared" si="89"/>
        <v>9</v>
      </c>
      <c r="G175" s="7">
        <f t="shared" si="89"/>
        <v>8.1000000000000014</v>
      </c>
      <c r="H175" s="7">
        <f t="shared" si="89"/>
        <v>7.2899999999999991</v>
      </c>
      <c r="I175" s="7">
        <f t="shared" si="89"/>
        <v>6.5609999999999999</v>
      </c>
      <c r="J175" s="7">
        <f t="shared" si="89"/>
        <v>5.9049000000000014</v>
      </c>
      <c r="K175" s="6"/>
      <c r="L175" s="10"/>
      <c r="M175" s="4">
        <f t="shared" ref="M175:M178" si="90">C175</f>
        <v>2021</v>
      </c>
      <c r="N175" s="18"/>
      <c r="O175" s="7">
        <f t="shared" ref="O175:T175" si="91">O64-O74</f>
        <v>10.190292432287279</v>
      </c>
      <c r="P175" s="7">
        <f t="shared" si="91"/>
        <v>8.9914344990770161</v>
      </c>
      <c r="Q175" s="7">
        <f t="shared" si="91"/>
        <v>7.9336186756561879</v>
      </c>
      <c r="R175" s="7">
        <f t="shared" si="91"/>
        <v>7.0002517726378173</v>
      </c>
      <c r="S175" s="7">
        <f t="shared" si="91"/>
        <v>6.1766927405627783</v>
      </c>
      <c r="T175" s="7">
        <f t="shared" si="91"/>
        <v>5.4500230063789239</v>
      </c>
      <c r="U175" s="6"/>
      <c r="W175" s="61" t="s">
        <v>184</v>
      </c>
    </row>
    <row r="176" spans="3:23" x14ac:dyDescent="0.35">
      <c r="C176" s="4">
        <f t="shared" si="88"/>
        <v>2022</v>
      </c>
      <c r="D176" s="18"/>
      <c r="E176" s="18"/>
      <c r="F176" s="7">
        <f t="shared" ref="F176:J176" si="92">F65-F75</f>
        <v>10</v>
      </c>
      <c r="G176" s="7">
        <f t="shared" si="92"/>
        <v>9</v>
      </c>
      <c r="H176" s="7">
        <f t="shared" si="92"/>
        <v>8.1000000000000014</v>
      </c>
      <c r="I176" s="7">
        <f t="shared" si="92"/>
        <v>7.2899999999999991</v>
      </c>
      <c r="J176" s="7">
        <f t="shared" si="92"/>
        <v>6.5609999999999999</v>
      </c>
      <c r="K176" s="6"/>
      <c r="L176" s="10"/>
      <c r="M176" s="4">
        <f t="shared" si="90"/>
        <v>2022</v>
      </c>
      <c r="N176" s="18"/>
      <c r="O176" s="18"/>
      <c r="P176" s="7">
        <f t="shared" ref="P176:T176" si="93">P65-P75</f>
        <v>9.9904827767522377</v>
      </c>
      <c r="Q176" s="7">
        <f t="shared" si="93"/>
        <v>8.8151318618402073</v>
      </c>
      <c r="R176" s="7">
        <f t="shared" si="93"/>
        <v>7.7780575251531268</v>
      </c>
      <c r="S176" s="7">
        <f t="shared" si="93"/>
        <v>6.8629919339586394</v>
      </c>
      <c r="T176" s="7">
        <f t="shared" si="93"/>
        <v>6.055581118198802</v>
      </c>
      <c r="U176" s="6"/>
      <c r="W176" s="61" t="s">
        <v>186</v>
      </c>
    </row>
    <row r="177" spans="2:23" x14ac:dyDescent="0.35">
      <c r="C177" s="4">
        <f t="shared" si="88"/>
        <v>2023</v>
      </c>
      <c r="D177" s="18"/>
      <c r="E177" s="18"/>
      <c r="F177" s="18"/>
      <c r="G177" s="7">
        <f t="shared" ref="G177:J177" si="94">G66-G76</f>
        <v>10</v>
      </c>
      <c r="H177" s="7">
        <f t="shared" si="94"/>
        <v>9</v>
      </c>
      <c r="I177" s="7">
        <f t="shared" si="94"/>
        <v>8.1000000000000014</v>
      </c>
      <c r="J177" s="7">
        <f t="shared" si="94"/>
        <v>7.2899999999999991</v>
      </c>
      <c r="K177" s="6"/>
      <c r="L177" s="10"/>
      <c r="M177" s="4">
        <f t="shared" si="90"/>
        <v>2023</v>
      </c>
      <c r="N177" s="18"/>
      <c r="O177" s="18"/>
      <c r="P177" s="18"/>
      <c r="Q177" s="7">
        <f t="shared" ref="Q177:T177" si="95">Q66-Q76</f>
        <v>9.794590957600235</v>
      </c>
      <c r="R177" s="7">
        <f t="shared" si="95"/>
        <v>8.6422861390590313</v>
      </c>
      <c r="S177" s="7">
        <f t="shared" si="95"/>
        <v>7.6255465932873783</v>
      </c>
      <c r="T177" s="7">
        <f t="shared" si="95"/>
        <v>6.7284234646653367</v>
      </c>
      <c r="U177" s="6"/>
    </row>
    <row r="178" spans="2:23" x14ac:dyDescent="0.35">
      <c r="C178" s="4">
        <f t="shared" si="88"/>
        <v>2024</v>
      </c>
      <c r="D178" s="18"/>
      <c r="E178" s="18"/>
      <c r="F178" s="18"/>
      <c r="G178" s="18"/>
      <c r="H178" s="7">
        <f t="shared" ref="H178:I178" si="96">H67-H77</f>
        <v>10</v>
      </c>
      <c r="I178" s="7">
        <f t="shared" si="96"/>
        <v>9</v>
      </c>
      <c r="J178" s="7">
        <f>J67-J77</f>
        <v>8.1000000000000014</v>
      </c>
      <c r="K178" s="10" t="s">
        <v>4</v>
      </c>
      <c r="L178" s="10"/>
      <c r="M178" s="4">
        <f t="shared" si="90"/>
        <v>2024</v>
      </c>
      <c r="N178" s="18"/>
      <c r="O178" s="18"/>
      <c r="P178" s="18"/>
      <c r="Q178" s="18"/>
      <c r="R178" s="7">
        <f t="shared" ref="R178:T178" si="97">R67-R77</f>
        <v>9.6025401545100308</v>
      </c>
      <c r="S178" s="7">
        <f t="shared" si="97"/>
        <v>8.4728295480970885</v>
      </c>
      <c r="T178" s="7">
        <f t="shared" si="97"/>
        <v>7.4760260718503737</v>
      </c>
      <c r="U178" s="10" t="s">
        <v>4</v>
      </c>
    </row>
    <row r="179" spans="2:23" x14ac:dyDescent="0.35">
      <c r="C179" s="5" t="s">
        <v>4</v>
      </c>
      <c r="D179" s="21">
        <f t="shared" ref="D179:J179" si="98">SUM(D174:D178)</f>
        <v>10</v>
      </c>
      <c r="E179" s="21">
        <f t="shared" si="98"/>
        <v>19</v>
      </c>
      <c r="F179" s="21">
        <f t="shared" si="98"/>
        <v>27.1</v>
      </c>
      <c r="G179" s="21">
        <f t="shared" si="98"/>
        <v>34.39</v>
      </c>
      <c r="H179" s="21">
        <f t="shared" si="98"/>
        <v>40.951000000000001</v>
      </c>
      <c r="I179" s="21">
        <f t="shared" si="98"/>
        <v>36.855900000000005</v>
      </c>
      <c r="J179" s="21">
        <f t="shared" si="98"/>
        <v>33.170310000000001</v>
      </c>
      <c r="K179" s="12">
        <f>SUM(D179:J179)</f>
        <v>201.46720999999999</v>
      </c>
      <c r="L179" s="10"/>
      <c r="M179" s="5" t="s">
        <v>4</v>
      </c>
      <c r="N179" s="21">
        <f t="shared" ref="N179:T179" si="99">SUM(N174:N178)</f>
        <v>10.394098280933029</v>
      </c>
      <c r="O179" s="21">
        <f t="shared" si="99"/>
        <v>19.361555621345836</v>
      </c>
      <c r="P179" s="21">
        <f t="shared" si="99"/>
        <v>27.074208324998569</v>
      </c>
      <c r="Q179" s="21">
        <f t="shared" si="99"/>
        <v>33.683598303187196</v>
      </c>
      <c r="R179" s="21">
        <f t="shared" si="99"/>
        <v>39.323362186734045</v>
      </c>
      <c r="S179" s="21">
        <f t="shared" si="99"/>
        <v>34.697084282412391</v>
      </c>
      <c r="T179" s="21">
        <f t="shared" si="99"/>
        <v>30.615074366834467</v>
      </c>
      <c r="U179" s="12">
        <f>SUM(N179:T179)</f>
        <v>195.14898136644555</v>
      </c>
    </row>
    <row r="181" spans="2:23" s="28" customFormat="1" x14ac:dyDescent="0.35">
      <c r="W181" s="63"/>
    </row>
    <row r="182" spans="2:23" x14ac:dyDescent="0.35">
      <c r="B182" t="s">
        <v>39</v>
      </c>
      <c r="C182" s="130" t="s">
        <v>398</v>
      </c>
      <c r="D182" s="130"/>
      <c r="E182" s="130"/>
      <c r="F182" s="130"/>
      <c r="G182" s="130"/>
      <c r="H182" s="130"/>
      <c r="I182" s="130"/>
      <c r="J182" s="130"/>
      <c r="K182" s="130"/>
    </row>
    <row r="183" spans="2:23" x14ac:dyDescent="0.35">
      <c r="C183" s="131"/>
      <c r="D183" s="131"/>
      <c r="E183" s="131"/>
      <c r="F183" s="131"/>
      <c r="G183" s="131"/>
      <c r="H183" s="131"/>
      <c r="I183" s="131"/>
      <c r="J183" s="131"/>
      <c r="K183" s="131"/>
    </row>
    <row r="184" spans="2:23" x14ac:dyDescent="0.35">
      <c r="C184" s="4" t="s">
        <v>110</v>
      </c>
      <c r="D184" s="126" t="s">
        <v>39</v>
      </c>
      <c r="E184" s="126"/>
      <c r="F184" s="126"/>
      <c r="G184" s="126"/>
      <c r="H184" s="126"/>
      <c r="I184" s="126"/>
      <c r="J184" s="126"/>
      <c r="K184" s="2"/>
    </row>
    <row r="185" spans="2:23" x14ac:dyDescent="0.35">
      <c r="C185" s="4" t="s">
        <v>1</v>
      </c>
      <c r="D185" s="5">
        <v>2020</v>
      </c>
      <c r="E185" s="5">
        <v>2021</v>
      </c>
      <c r="F185" s="5">
        <v>2022</v>
      </c>
      <c r="G185" s="5">
        <v>2023</v>
      </c>
      <c r="H185" s="5">
        <v>2024</v>
      </c>
      <c r="I185" s="5">
        <v>2025</v>
      </c>
      <c r="J185" s="5">
        <v>2026</v>
      </c>
      <c r="K185" s="10" t="s">
        <v>4</v>
      </c>
      <c r="W185" s="61" t="s">
        <v>187</v>
      </c>
    </row>
    <row r="186" spans="2:23" x14ac:dyDescent="0.35">
      <c r="C186" s="4">
        <f>C174</f>
        <v>2020</v>
      </c>
      <c r="D186" s="25">
        <f>IF($F$11=0,0,D133)</f>
        <v>0</v>
      </c>
      <c r="E186" s="25">
        <f t="shared" ref="E186:F186" si="100">IF($F$11=0,0,E133)</f>
        <v>0</v>
      </c>
      <c r="F186" s="25">
        <f t="shared" si="100"/>
        <v>0</v>
      </c>
      <c r="W186" s="61" t="s">
        <v>369</v>
      </c>
    </row>
    <row r="187" spans="2:23" x14ac:dyDescent="0.35">
      <c r="C187" s="4">
        <f t="shared" ref="C187:C190" si="101">C175</f>
        <v>2021</v>
      </c>
      <c r="W187" s="61" t="s">
        <v>188</v>
      </c>
    </row>
    <row r="188" spans="2:23" x14ac:dyDescent="0.35">
      <c r="C188" s="4">
        <f t="shared" si="101"/>
        <v>2022</v>
      </c>
      <c r="W188" s="61" t="s">
        <v>189</v>
      </c>
    </row>
    <row r="189" spans="2:23" x14ac:dyDescent="0.35">
      <c r="C189" s="4">
        <f t="shared" si="101"/>
        <v>2023</v>
      </c>
      <c r="W189" s="61" t="s">
        <v>370</v>
      </c>
    </row>
    <row r="190" spans="2:23" x14ac:dyDescent="0.35">
      <c r="C190" s="4">
        <f t="shared" si="101"/>
        <v>2024</v>
      </c>
    </row>
    <row r="191" spans="2:23" x14ac:dyDescent="0.35">
      <c r="C191" s="5" t="s">
        <v>4</v>
      </c>
      <c r="D191" s="21">
        <f>SUM(D186:D190)</f>
        <v>0</v>
      </c>
      <c r="E191" s="21">
        <f t="shared" ref="E191:J191" si="102">SUM(E186:E190)</f>
        <v>0</v>
      </c>
      <c r="F191" s="21">
        <f t="shared" si="102"/>
        <v>0</v>
      </c>
      <c r="G191" s="21">
        <f t="shared" si="102"/>
        <v>0</v>
      </c>
      <c r="H191" s="21">
        <f t="shared" si="102"/>
        <v>0</v>
      </c>
      <c r="I191" s="21">
        <f t="shared" si="102"/>
        <v>0</v>
      </c>
      <c r="J191" s="21">
        <f t="shared" si="102"/>
        <v>0</v>
      </c>
      <c r="K191" s="12">
        <f>SUM(D191:J191)</f>
        <v>0</v>
      </c>
    </row>
    <row r="193" spans="3:23" x14ac:dyDescent="0.35">
      <c r="C193" s="131" t="s">
        <v>399</v>
      </c>
      <c r="D193" s="131"/>
      <c r="E193" s="131"/>
      <c r="F193" s="131"/>
      <c r="G193" s="131"/>
      <c r="H193" s="131"/>
      <c r="I193" s="131"/>
      <c r="J193" s="131"/>
      <c r="K193" s="131"/>
    </row>
    <row r="194" spans="3:23" x14ac:dyDescent="0.35">
      <c r="C194" s="131"/>
      <c r="D194" s="131"/>
      <c r="E194" s="131"/>
      <c r="F194" s="131"/>
      <c r="G194" s="131"/>
      <c r="H194" s="131"/>
      <c r="I194" s="131"/>
      <c r="J194" s="131"/>
      <c r="K194" s="131"/>
    </row>
    <row r="195" spans="3:23" x14ac:dyDescent="0.35">
      <c r="C195" s="4" t="s">
        <v>110</v>
      </c>
      <c r="D195" s="126" t="s">
        <v>39</v>
      </c>
      <c r="E195" s="126"/>
      <c r="F195" s="126"/>
      <c r="G195" s="126"/>
      <c r="H195" s="126"/>
      <c r="I195" s="126"/>
      <c r="J195" s="126"/>
      <c r="K195" s="2"/>
      <c r="W195" s="61" t="s">
        <v>190</v>
      </c>
    </row>
    <row r="196" spans="3:23" x14ac:dyDescent="0.35">
      <c r="C196" s="4" t="s">
        <v>1</v>
      </c>
      <c r="D196" s="5">
        <v>2020</v>
      </c>
      <c r="E196" s="5">
        <v>2021</v>
      </c>
      <c r="F196" s="5">
        <v>2022</v>
      </c>
      <c r="G196" s="5">
        <v>2023</v>
      </c>
      <c r="H196" s="5">
        <v>2024</v>
      </c>
      <c r="I196" s="5">
        <v>2025</v>
      </c>
      <c r="J196" s="5">
        <v>2026</v>
      </c>
      <c r="K196" s="10" t="s">
        <v>4</v>
      </c>
      <c r="W196" s="61" t="s">
        <v>191</v>
      </c>
    </row>
    <row r="197" spans="3:23" x14ac:dyDescent="0.35">
      <c r="C197" s="4">
        <f>C186</f>
        <v>2020</v>
      </c>
      <c r="D197" s="25">
        <f>D143</f>
        <v>2.2823928606751323</v>
      </c>
      <c r="E197" s="25">
        <f t="shared" ref="E197:H197" si="103">E143</f>
        <v>2.0541535746076187</v>
      </c>
      <c r="F197" s="25">
        <f t="shared" si="103"/>
        <v>1.8487382171468569</v>
      </c>
      <c r="G197" s="25">
        <f t="shared" si="103"/>
        <v>1.6638643954321712</v>
      </c>
      <c r="H197" s="25">
        <f t="shared" si="103"/>
        <v>1.4974779558889544</v>
      </c>
      <c r="I197" s="30"/>
      <c r="J197" s="30"/>
    </row>
    <row r="198" spans="3:23" x14ac:dyDescent="0.35">
      <c r="C198" s="4">
        <f t="shared" ref="C198:C201" si="104">C187</f>
        <v>2021</v>
      </c>
      <c r="D198" s="25"/>
      <c r="E198" s="25">
        <f t="shared" ref="E198:H198" si="105">E144</f>
        <v>2.2823928606751323</v>
      </c>
      <c r="F198" s="25">
        <f t="shared" si="105"/>
        <v>2.0541535746076187</v>
      </c>
      <c r="G198" s="25">
        <f t="shared" si="105"/>
        <v>1.8487382171468569</v>
      </c>
      <c r="H198" s="25">
        <f t="shared" si="105"/>
        <v>1.6638643954321712</v>
      </c>
      <c r="I198" s="30"/>
      <c r="J198" s="30"/>
    </row>
    <row r="199" spans="3:23" x14ac:dyDescent="0.35">
      <c r="C199" s="4">
        <f t="shared" si="104"/>
        <v>2022</v>
      </c>
      <c r="D199" s="25"/>
      <c r="E199" s="25"/>
      <c r="F199" s="25">
        <f t="shared" ref="F199:H199" si="106">F145</f>
        <v>2.2823928606751323</v>
      </c>
      <c r="G199" s="25">
        <f t="shared" si="106"/>
        <v>2.0541535746076187</v>
      </c>
      <c r="H199" s="25">
        <f t="shared" si="106"/>
        <v>1.8487382171468569</v>
      </c>
      <c r="I199" s="30"/>
      <c r="J199" s="30"/>
    </row>
    <row r="200" spans="3:23" x14ac:dyDescent="0.35">
      <c r="C200" s="4">
        <f t="shared" si="104"/>
        <v>2023</v>
      </c>
      <c r="D200" s="25"/>
      <c r="E200" s="25"/>
      <c r="F200" s="25"/>
      <c r="G200" s="25">
        <f t="shared" ref="G200:H200" si="107">G146</f>
        <v>2.2823928606751323</v>
      </c>
      <c r="H200" s="25">
        <f t="shared" si="107"/>
        <v>2.0541535746076187</v>
      </c>
      <c r="I200" s="30"/>
      <c r="J200" s="30"/>
    </row>
    <row r="201" spans="3:23" x14ac:dyDescent="0.35">
      <c r="C201" s="4">
        <f t="shared" si="104"/>
        <v>2024</v>
      </c>
      <c r="D201" s="25"/>
      <c r="E201" s="25"/>
      <c r="F201" s="25"/>
      <c r="G201" s="25"/>
      <c r="H201" s="25">
        <f t="shared" ref="H201" si="108">H147</f>
        <v>2.2823928606751323</v>
      </c>
      <c r="I201" s="30"/>
      <c r="J201" s="30"/>
    </row>
    <row r="202" spans="3:23" x14ac:dyDescent="0.35">
      <c r="C202" s="5" t="s">
        <v>4</v>
      </c>
      <c r="D202" s="21">
        <f>SUM(D197:D201)</f>
        <v>2.2823928606751323</v>
      </c>
      <c r="E202" s="21">
        <f t="shared" ref="E202:J202" si="109">SUM(E197:E201)</f>
        <v>4.3365464352827505</v>
      </c>
      <c r="F202" s="21">
        <f t="shared" si="109"/>
        <v>6.1852846524296083</v>
      </c>
      <c r="G202" s="21">
        <f t="shared" si="109"/>
        <v>7.8491490478617791</v>
      </c>
      <c r="H202" s="21">
        <f t="shared" si="109"/>
        <v>9.3466270037507329</v>
      </c>
      <c r="I202" s="21">
        <f t="shared" si="109"/>
        <v>0</v>
      </c>
      <c r="J202" s="21">
        <f t="shared" si="109"/>
        <v>0</v>
      </c>
      <c r="K202" s="12">
        <f>SUM(D202:J202)</f>
        <v>30.000000000000004</v>
      </c>
    </row>
    <row r="204" spans="3:23" ht="31.75" customHeight="1" x14ac:dyDescent="0.35">
      <c r="C204" s="132" t="s">
        <v>400</v>
      </c>
      <c r="D204" s="132"/>
      <c r="E204" s="132"/>
      <c r="F204" s="132"/>
      <c r="G204" s="132"/>
      <c r="H204" s="132"/>
      <c r="I204" s="132"/>
      <c r="J204" s="132"/>
      <c r="K204" s="132"/>
    </row>
    <row r="205" spans="3:23" x14ac:dyDescent="0.35">
      <c r="C205" s="4" t="s">
        <v>110</v>
      </c>
      <c r="D205" s="126" t="s">
        <v>39</v>
      </c>
      <c r="E205" s="126"/>
      <c r="F205" s="126"/>
      <c r="G205" s="126"/>
      <c r="H205" s="126"/>
      <c r="I205" s="126"/>
      <c r="J205" s="126"/>
      <c r="K205" s="2"/>
      <c r="W205" s="61" t="s">
        <v>192</v>
      </c>
    </row>
    <row r="206" spans="3:23" x14ac:dyDescent="0.35">
      <c r="C206" s="4" t="s">
        <v>1</v>
      </c>
      <c r="D206" s="5">
        <v>2020</v>
      </c>
      <c r="E206" s="5">
        <v>2021</v>
      </c>
      <c r="F206" s="5">
        <v>2022</v>
      </c>
      <c r="G206" s="5">
        <v>2023</v>
      </c>
      <c r="H206" s="5">
        <v>2024</v>
      </c>
      <c r="I206" s="5">
        <v>2025</v>
      </c>
      <c r="J206" s="5">
        <v>2026</v>
      </c>
      <c r="K206" s="10" t="s">
        <v>4</v>
      </c>
      <c r="O206" s="30"/>
      <c r="P206" s="30"/>
      <c r="Q206" s="30"/>
      <c r="R206" s="30"/>
      <c r="S206" s="30"/>
      <c r="T206" s="30"/>
      <c r="W206" s="61" t="s">
        <v>193</v>
      </c>
    </row>
    <row r="207" spans="3:23" x14ac:dyDescent="0.35">
      <c r="C207" s="4">
        <f>C174</f>
        <v>2020</v>
      </c>
      <c r="D207" s="25">
        <f>D186+D197</f>
        <v>2.2823928606751323</v>
      </c>
      <c r="E207" s="25">
        <f t="shared" ref="E207:H207" si="110">E186+E197</f>
        <v>2.0541535746076187</v>
      </c>
      <c r="F207" s="25">
        <f t="shared" si="110"/>
        <v>1.8487382171468569</v>
      </c>
      <c r="G207" s="25">
        <f t="shared" si="110"/>
        <v>1.6638643954321712</v>
      </c>
      <c r="H207" s="25">
        <f t="shared" si="110"/>
        <v>1.4974779558889544</v>
      </c>
      <c r="O207" s="30"/>
      <c r="P207" s="30"/>
      <c r="Q207" s="30"/>
      <c r="R207" s="30"/>
      <c r="S207" s="30"/>
      <c r="T207" s="30"/>
    </row>
    <row r="208" spans="3:23" x14ac:dyDescent="0.35">
      <c r="C208" s="4">
        <f>C175</f>
        <v>2021</v>
      </c>
      <c r="D208" s="25"/>
      <c r="E208" s="25">
        <f t="shared" ref="E208:H208" si="111">E187+E198</f>
        <v>2.2823928606751323</v>
      </c>
      <c r="F208" s="25">
        <f t="shared" si="111"/>
        <v>2.0541535746076187</v>
      </c>
      <c r="G208" s="25">
        <f t="shared" si="111"/>
        <v>1.8487382171468569</v>
      </c>
      <c r="H208" s="25">
        <f t="shared" si="111"/>
        <v>1.6638643954321712</v>
      </c>
      <c r="O208" s="30"/>
      <c r="P208" s="30"/>
      <c r="Q208" s="30"/>
      <c r="R208" s="30"/>
      <c r="S208" s="30"/>
      <c r="T208" s="30"/>
    </row>
    <row r="209" spans="3:20" x14ac:dyDescent="0.35">
      <c r="C209" s="4">
        <f>C176</f>
        <v>2022</v>
      </c>
      <c r="D209" s="25"/>
      <c r="E209" s="25"/>
      <c r="F209" s="25">
        <f t="shared" ref="F209:H209" si="112">F188+F199</f>
        <v>2.2823928606751323</v>
      </c>
      <c r="G209" s="25">
        <f t="shared" si="112"/>
        <v>2.0541535746076187</v>
      </c>
      <c r="H209" s="25">
        <f t="shared" si="112"/>
        <v>1.8487382171468569</v>
      </c>
      <c r="O209" s="30"/>
      <c r="P209" s="30"/>
      <c r="Q209" s="30"/>
      <c r="R209" s="30"/>
      <c r="S209" s="30"/>
      <c r="T209" s="30"/>
    </row>
    <row r="210" spans="3:20" x14ac:dyDescent="0.35">
      <c r="C210" s="4">
        <f>C177</f>
        <v>2023</v>
      </c>
      <c r="D210" s="25"/>
      <c r="E210" s="25"/>
      <c r="F210" s="25"/>
      <c r="G210" s="25">
        <f t="shared" ref="G210:H210" si="113">G189+G200</f>
        <v>2.2823928606751323</v>
      </c>
      <c r="H210" s="25">
        <f t="shared" si="113"/>
        <v>2.0541535746076187</v>
      </c>
      <c r="O210" s="30"/>
      <c r="P210" s="30"/>
      <c r="Q210" s="30"/>
      <c r="R210" s="30"/>
      <c r="S210" s="30"/>
      <c r="T210" s="30"/>
    </row>
    <row r="211" spans="3:20" x14ac:dyDescent="0.35">
      <c r="C211" s="4">
        <f>C178</f>
        <v>2024</v>
      </c>
      <c r="D211" s="25"/>
      <c r="E211" s="25"/>
      <c r="F211" s="25"/>
      <c r="G211" s="25"/>
      <c r="H211" s="25">
        <f t="shared" ref="H211" si="114">H190+H201</f>
        <v>2.2823928606751323</v>
      </c>
      <c r="O211" s="30"/>
      <c r="P211" s="30"/>
      <c r="Q211" s="30"/>
      <c r="R211" s="30"/>
      <c r="S211" s="30"/>
    </row>
    <row r="212" spans="3:20" x14ac:dyDescent="0.35">
      <c r="C212" s="5" t="s">
        <v>4</v>
      </c>
      <c r="D212" s="21">
        <f>SUM(D207:D211)</f>
        <v>2.2823928606751323</v>
      </c>
      <c r="E212" s="21">
        <f t="shared" ref="E212:J212" si="115">SUM(E207:E211)</f>
        <v>4.3365464352827505</v>
      </c>
      <c r="F212" s="21">
        <f t="shared" si="115"/>
        <v>6.1852846524296083</v>
      </c>
      <c r="G212" s="21">
        <f t="shared" si="115"/>
        <v>7.8491490478617791</v>
      </c>
      <c r="H212" s="21">
        <f t="shared" si="115"/>
        <v>9.3466270037507329</v>
      </c>
      <c r="I212" s="21">
        <f t="shared" si="115"/>
        <v>0</v>
      </c>
      <c r="J212" s="21">
        <f t="shared" si="115"/>
        <v>0</v>
      </c>
      <c r="K212" s="12">
        <f>SUM(D212:J212)</f>
        <v>30.000000000000004</v>
      </c>
    </row>
  </sheetData>
  <mergeCells count="52">
    <mergeCell ref="N162:T162"/>
    <mergeCell ref="D172:J172"/>
    <mergeCell ref="N172:T172"/>
    <mergeCell ref="D205:J205"/>
    <mergeCell ref="D184:J184"/>
    <mergeCell ref="D195:J195"/>
    <mergeCell ref="D162:J162"/>
    <mergeCell ref="C182:K183"/>
    <mergeCell ref="C193:K194"/>
    <mergeCell ref="C204:K204"/>
    <mergeCell ref="M171:U171"/>
    <mergeCell ref="N152:T152"/>
    <mergeCell ref="N121:T121"/>
    <mergeCell ref="D131:J131"/>
    <mergeCell ref="N131:T131"/>
    <mergeCell ref="D141:J141"/>
    <mergeCell ref="N141:T141"/>
    <mergeCell ref="D152:J152"/>
    <mergeCell ref="D121:J121"/>
    <mergeCell ref="C140:K140"/>
    <mergeCell ref="M140:U140"/>
    <mergeCell ref="C130:K130"/>
    <mergeCell ref="M130:U130"/>
    <mergeCell ref="N71:T71"/>
    <mergeCell ref="N61:T61"/>
    <mergeCell ref="M161:U161"/>
    <mergeCell ref="M151:U151"/>
    <mergeCell ref="C151:K151"/>
    <mergeCell ref="C161:K161"/>
    <mergeCell ref="C80:K80"/>
    <mergeCell ref="C90:K90"/>
    <mergeCell ref="M110:U110"/>
    <mergeCell ref="C110:K110"/>
    <mergeCell ref="M80:U80"/>
    <mergeCell ref="M90:U90"/>
    <mergeCell ref="C120:K120"/>
    <mergeCell ref="M120:U120"/>
    <mergeCell ref="D101:J101"/>
    <mergeCell ref="N101:T101"/>
    <mergeCell ref="G34:M34"/>
    <mergeCell ref="C51:J51"/>
    <mergeCell ref="D52:J52"/>
    <mergeCell ref="D71:J71"/>
    <mergeCell ref="D61:J61"/>
    <mergeCell ref="M100:U100"/>
    <mergeCell ref="N91:T91"/>
    <mergeCell ref="D111:J111"/>
    <mergeCell ref="N111:T111"/>
    <mergeCell ref="N81:T81"/>
    <mergeCell ref="D91:J91"/>
    <mergeCell ref="D81:J81"/>
    <mergeCell ref="C100:K100"/>
  </mergeCells>
  <dataValidations count="6">
    <dataValidation type="whole" operator="greaterThan" allowBlank="1" showInputMessage="1" showErrorMessage="1" sqref="F8" xr:uid="{00000000-0002-0000-0100-000000000000}">
      <formula1>0</formula1>
    </dataValidation>
    <dataValidation type="decimal" allowBlank="1" showInputMessage="1" showErrorMessage="1" sqref="K9 D20 D22" xr:uid="{00000000-0002-0000-0100-000001000000}">
      <formula1>0</formula1>
      <formula2>1</formula2>
    </dataValidation>
    <dataValidation type="decimal" operator="greaterThan" allowBlank="1" showInputMessage="1" showErrorMessage="1" sqref="H14" xr:uid="{00000000-0002-0000-0100-000002000000}">
      <formula1>0</formula1>
    </dataValidation>
    <dataValidation type="whole" operator="greaterThanOrEqual" allowBlank="1" showInputMessage="1" showErrorMessage="1" sqref="H28" xr:uid="{00000000-0002-0000-0100-000003000000}">
      <formula1>0</formula1>
    </dataValidation>
    <dataValidation type="decimal" allowBlank="1" showInputMessage="1" showErrorMessage="1" sqref="H36:M36" xr:uid="{00000000-0002-0000-0100-000004000000}">
      <formula1>G36</formula1>
      <formula2>0.05</formula2>
    </dataValidation>
    <dataValidation type="decimal" allowBlank="1" showInputMessage="1" showErrorMessage="1" sqref="G36" xr:uid="{00000000-0002-0000-0100-000005000000}">
      <formula1>0</formula1>
      <formula2>0.1</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6000000}">
          <x14:formula1>
            <xm:f>'0 - Inputs and Results'!$N$2:$N$3</xm:f>
          </x14:formula1>
          <xm:sqref>F11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4"/>
  <sheetViews>
    <sheetView topLeftCell="A43" zoomScaleNormal="100" workbookViewId="0">
      <selection activeCell="N57" sqref="N57"/>
    </sheetView>
  </sheetViews>
  <sheetFormatPr defaultColWidth="10.90625" defaultRowHeight="14.5" x14ac:dyDescent="0.35"/>
  <cols>
    <col min="1" max="1" width="2.1796875" customWidth="1"/>
    <col min="2" max="2" width="14.453125" customWidth="1"/>
    <col min="3" max="3" width="12.90625" customWidth="1"/>
    <col min="4" max="4" width="17.08984375" customWidth="1"/>
    <col min="5" max="5" width="12.453125" bestFit="1" customWidth="1"/>
    <col min="8" max="8" width="13.36328125" customWidth="1"/>
    <col min="14" max="14" width="43.90625" style="61" customWidth="1"/>
  </cols>
  <sheetData>
    <row r="1" spans="1:14" x14ac:dyDescent="0.35">
      <c r="B1" s="22" t="s">
        <v>120</v>
      </c>
      <c r="N1" s="22" t="s">
        <v>121</v>
      </c>
    </row>
    <row r="4" spans="1:14" x14ac:dyDescent="0.35">
      <c r="A4" s="1"/>
      <c r="B4" t="s">
        <v>40</v>
      </c>
    </row>
    <row r="6" spans="1:14" x14ac:dyDescent="0.35">
      <c r="B6" t="s">
        <v>41</v>
      </c>
      <c r="C6" s="23" t="str">
        <f>IF('A - Base data at Dec 31, 2019'!$F$11=0,"not applicable","applicable")</f>
        <v>not applicable</v>
      </c>
      <c r="D6" s="107" t="s">
        <v>144</v>
      </c>
      <c r="E6" s="23" t="str">
        <f>IF('A - Base data at Dec 31, 2019'!$F$11=0,"have not","have")</f>
        <v>have not</v>
      </c>
      <c r="F6" t="s">
        <v>42</v>
      </c>
    </row>
    <row r="9" spans="1:14" x14ac:dyDescent="0.35">
      <c r="B9" t="s">
        <v>401</v>
      </c>
      <c r="I9" s="113" t="str">
        <f>IF(E6="have",ROUND('A - Base data at Dec 31, 2019'!N169,2),"")</f>
        <v/>
      </c>
      <c r="N9" s="61" t="s">
        <v>402</v>
      </c>
    </row>
    <row r="11" spans="1:14" x14ac:dyDescent="0.35">
      <c r="B11" t="s">
        <v>145</v>
      </c>
      <c r="C11" s="23" t="str">
        <f>IF(I9&lt;0,"does","does not")</f>
        <v>does not</v>
      </c>
      <c r="D11" t="s">
        <v>367</v>
      </c>
      <c r="G11" s="133" t="str">
        <f>IF(I9&lt;0,"and the group 2020 is onerous.",".")</f>
        <v>.</v>
      </c>
      <c r="H11" s="134"/>
      <c r="I11" s="135"/>
    </row>
    <row r="13" spans="1:14" s="28" customFormat="1" x14ac:dyDescent="0.35">
      <c r="N13" s="63"/>
    </row>
    <row r="14" spans="1:14" x14ac:dyDescent="0.35">
      <c r="C14" s="1" t="s">
        <v>403</v>
      </c>
    </row>
    <row r="15" spans="1:14" x14ac:dyDescent="0.35">
      <c r="C15" s="126" t="s">
        <v>39</v>
      </c>
      <c r="D15" s="126"/>
      <c r="E15" s="126"/>
      <c r="F15" s="126"/>
      <c r="G15" s="126"/>
      <c r="H15" s="126"/>
      <c r="I15" s="126"/>
      <c r="J15" s="2"/>
    </row>
    <row r="16" spans="1:14" x14ac:dyDescent="0.35">
      <c r="C16" s="5">
        <v>2020</v>
      </c>
      <c r="D16" s="5">
        <v>2021</v>
      </c>
      <c r="E16" s="5">
        <v>2022</v>
      </c>
      <c r="F16" s="5">
        <v>2023</v>
      </c>
      <c r="G16" s="5">
        <v>2024</v>
      </c>
      <c r="H16" s="5">
        <v>2025</v>
      </c>
      <c r="I16" s="5">
        <v>2026</v>
      </c>
      <c r="J16" s="10" t="s">
        <v>4</v>
      </c>
      <c r="N16" s="61" t="s">
        <v>194</v>
      </c>
    </row>
    <row r="17" spans="3:14" x14ac:dyDescent="0.35">
      <c r="C17" s="7">
        <f>'A - Base data at Dec 31, 2019'!D212</f>
        <v>2.2823928606751323</v>
      </c>
      <c r="D17" s="7">
        <f>'A - Base data at Dec 31, 2019'!E212</f>
        <v>4.3365464352827505</v>
      </c>
      <c r="E17" s="7">
        <f>'A - Base data at Dec 31, 2019'!F212</f>
        <v>6.1852846524296083</v>
      </c>
      <c r="F17" s="7">
        <f>'A - Base data at Dec 31, 2019'!G212</f>
        <v>7.8491490478617791</v>
      </c>
      <c r="G17" s="7">
        <f>'A - Base data at Dec 31, 2019'!H212</f>
        <v>9.3466270037507329</v>
      </c>
      <c r="H17" s="7">
        <f>'A - Base data at Dec 31, 2019'!I212</f>
        <v>0</v>
      </c>
      <c r="I17" s="7">
        <f>'A - Base data at Dec 31, 2019'!J212</f>
        <v>0</v>
      </c>
      <c r="J17" s="12">
        <f>SUM(C17:I17)</f>
        <v>30.000000000000004</v>
      </c>
      <c r="N17" s="61" t="s">
        <v>195</v>
      </c>
    </row>
    <row r="20" spans="3:14" x14ac:dyDescent="0.35">
      <c r="C20" s="1" t="s">
        <v>404</v>
      </c>
    </row>
    <row r="21" spans="3:14" x14ac:dyDescent="0.35">
      <c r="C21" s="5">
        <v>2020</v>
      </c>
      <c r="D21" s="5">
        <v>2021</v>
      </c>
      <c r="E21" s="5">
        <v>2022</v>
      </c>
      <c r="F21" s="5">
        <v>2023</v>
      </c>
      <c r="G21" s="5">
        <v>2024</v>
      </c>
      <c r="H21" s="5">
        <v>2025</v>
      </c>
      <c r="I21" s="5">
        <v>2026</v>
      </c>
      <c r="J21" s="10" t="s">
        <v>4</v>
      </c>
      <c r="N21" s="61" t="s">
        <v>196</v>
      </c>
    </row>
    <row r="22" spans="3:14" x14ac:dyDescent="0.35">
      <c r="C22" s="7">
        <f>IF(C11="does not",0,C17)</f>
        <v>0</v>
      </c>
      <c r="D22" s="7"/>
      <c r="E22" s="7"/>
      <c r="F22" s="7"/>
      <c r="G22" s="7"/>
      <c r="H22" s="7"/>
      <c r="I22" s="7"/>
      <c r="J22" s="12">
        <f>SUM(C22:I22)</f>
        <v>0</v>
      </c>
      <c r="N22" s="61" t="s">
        <v>197</v>
      </c>
    </row>
    <row r="23" spans="3:14" x14ac:dyDescent="0.35">
      <c r="C23" s="7"/>
      <c r="D23" s="7"/>
      <c r="E23" s="7"/>
      <c r="F23" s="7"/>
      <c r="G23" s="7"/>
      <c r="H23" s="7"/>
      <c r="I23" s="7"/>
      <c r="N23" s="61" t="s">
        <v>198</v>
      </c>
    </row>
    <row r="24" spans="3:14" x14ac:dyDescent="0.35">
      <c r="C24" s="7"/>
      <c r="D24" s="24" t="s">
        <v>53</v>
      </c>
      <c r="E24" s="7"/>
      <c r="F24" s="7"/>
      <c r="G24" s="7"/>
      <c r="H24" s="7"/>
      <c r="I24" s="7"/>
    </row>
    <row r="27" spans="3:14" x14ac:dyDescent="0.35">
      <c r="C27" s="1" t="s">
        <v>405</v>
      </c>
    </row>
    <row r="28" spans="3:14" x14ac:dyDescent="0.35">
      <c r="C28" s="126" t="s">
        <v>39</v>
      </c>
      <c r="D28" s="126"/>
      <c r="E28" s="126"/>
      <c r="F28" s="126"/>
      <c r="G28" s="126"/>
      <c r="H28" s="126"/>
      <c r="I28" s="126"/>
      <c r="J28" s="2"/>
      <c r="N28" s="61" t="s">
        <v>199</v>
      </c>
    </row>
    <row r="29" spans="3:14" x14ac:dyDescent="0.35">
      <c r="C29" s="5">
        <v>2020</v>
      </c>
      <c r="D29" s="5">
        <v>2021</v>
      </c>
      <c r="E29" s="5">
        <v>2022</v>
      </c>
      <c r="F29" s="5">
        <v>2023</v>
      </c>
      <c r="G29" s="5">
        <v>2024</v>
      </c>
      <c r="H29" s="5">
        <v>2025</v>
      </c>
      <c r="I29" s="5">
        <v>2026</v>
      </c>
      <c r="J29" s="10" t="s">
        <v>4</v>
      </c>
      <c r="N29" s="61" t="s">
        <v>200</v>
      </c>
    </row>
    <row r="30" spans="3:14" x14ac:dyDescent="0.35">
      <c r="C30" s="7">
        <f>C17-C22</f>
        <v>2.2823928606751323</v>
      </c>
      <c r="D30" s="7">
        <f t="shared" ref="D30:I30" si="0">D17-D22</f>
        <v>4.3365464352827505</v>
      </c>
      <c r="E30" s="7">
        <f>E17-E22</f>
        <v>6.1852846524296083</v>
      </c>
      <c r="F30" s="7">
        <f t="shared" si="0"/>
        <v>7.8491490478617791</v>
      </c>
      <c r="G30" s="7">
        <f t="shared" si="0"/>
        <v>9.3466270037507329</v>
      </c>
      <c r="H30" s="7">
        <f t="shared" si="0"/>
        <v>0</v>
      </c>
      <c r="I30" s="7">
        <f t="shared" si="0"/>
        <v>0</v>
      </c>
      <c r="J30" s="12">
        <f>SUM(C30:I30)</f>
        <v>30.000000000000004</v>
      </c>
    </row>
    <row r="33" spans="2:14" s="28" customFormat="1" x14ac:dyDescent="0.35">
      <c r="N33" s="63"/>
    </row>
    <row r="34" spans="2:14" x14ac:dyDescent="0.35">
      <c r="B34" s="131" t="s">
        <v>406</v>
      </c>
      <c r="C34" s="131"/>
      <c r="D34" s="131"/>
      <c r="E34" s="131"/>
      <c r="F34" s="131"/>
      <c r="G34" s="131"/>
      <c r="H34" s="131"/>
      <c r="I34" s="131"/>
      <c r="J34" s="131"/>
    </row>
    <row r="35" spans="2:14" x14ac:dyDescent="0.35">
      <c r="B35" s="131"/>
      <c r="C35" s="131"/>
      <c r="D35" s="131"/>
      <c r="E35" s="131"/>
      <c r="F35" s="131"/>
      <c r="G35" s="131"/>
      <c r="H35" s="131"/>
      <c r="I35" s="131"/>
      <c r="J35" s="131"/>
    </row>
    <row r="36" spans="2:14" x14ac:dyDescent="0.35">
      <c r="B36" s="4" t="s">
        <v>110</v>
      </c>
      <c r="C36" s="126" t="s">
        <v>39</v>
      </c>
      <c r="D36" s="126"/>
      <c r="E36" s="126"/>
      <c r="F36" s="126"/>
      <c r="G36" s="126"/>
      <c r="H36" s="126"/>
      <c r="I36" s="126"/>
      <c r="J36" s="2"/>
      <c r="N36" s="61" t="s">
        <v>201</v>
      </c>
    </row>
    <row r="37" spans="2:14" x14ac:dyDescent="0.35">
      <c r="B37" s="4" t="s">
        <v>1</v>
      </c>
      <c r="C37" s="5">
        <v>2020</v>
      </c>
      <c r="D37" s="5">
        <v>2021</v>
      </c>
      <c r="E37" s="5">
        <v>2022</v>
      </c>
      <c r="F37" s="5">
        <v>2023</v>
      </c>
      <c r="G37" s="5">
        <v>2024</v>
      </c>
      <c r="H37" s="5">
        <v>2025</v>
      </c>
      <c r="I37" s="5">
        <v>2026</v>
      </c>
      <c r="J37" s="10" t="s">
        <v>4</v>
      </c>
      <c r="N37" s="61" t="s">
        <v>204</v>
      </c>
    </row>
    <row r="38" spans="2:14" x14ac:dyDescent="0.35">
      <c r="B38" s="4">
        <f>'A - Base data at Dec 31, 2019'!C197</f>
        <v>2020</v>
      </c>
      <c r="C38" s="25">
        <f>IF(C30=0,0,'A - Base data at Dec 31, 2019'!D186)</f>
        <v>0</v>
      </c>
      <c r="D38" s="25">
        <f>'A - Base data at Dec 31, 2019'!E186</f>
        <v>0</v>
      </c>
      <c r="E38" s="25">
        <f>'A - Base data at Dec 31, 2019'!F186</f>
        <v>0</v>
      </c>
    </row>
    <row r="39" spans="2:14" x14ac:dyDescent="0.35">
      <c r="B39" s="4">
        <f>'A - Base data at Dec 31, 2019'!C198</f>
        <v>2021</v>
      </c>
    </row>
    <row r="40" spans="2:14" x14ac:dyDescent="0.35">
      <c r="B40" s="4">
        <f>'A - Base data at Dec 31, 2019'!C199</f>
        <v>2022</v>
      </c>
    </row>
    <row r="41" spans="2:14" x14ac:dyDescent="0.35">
      <c r="B41" s="4">
        <f>'A - Base data at Dec 31, 2019'!C200</f>
        <v>2023</v>
      </c>
    </row>
    <row r="42" spans="2:14" x14ac:dyDescent="0.35">
      <c r="B42" s="4">
        <f>'A - Base data at Dec 31, 2019'!C201</f>
        <v>2024</v>
      </c>
    </row>
    <row r="43" spans="2:14" x14ac:dyDescent="0.35">
      <c r="B43" s="5" t="s">
        <v>4</v>
      </c>
      <c r="C43" s="21">
        <f>SUM(C38:C42)</f>
        <v>0</v>
      </c>
      <c r="D43" s="21">
        <f t="shared" ref="D43:I43" si="1">SUM(D38:D42)</f>
        <v>0</v>
      </c>
      <c r="E43" s="21">
        <f t="shared" si="1"/>
        <v>0</v>
      </c>
      <c r="F43" s="21">
        <f t="shared" si="1"/>
        <v>0</v>
      </c>
      <c r="G43" s="21">
        <f t="shared" si="1"/>
        <v>0</v>
      </c>
      <c r="H43" s="21">
        <f t="shared" si="1"/>
        <v>0</v>
      </c>
      <c r="I43" s="21">
        <f t="shared" si="1"/>
        <v>0</v>
      </c>
      <c r="J43" s="12">
        <f>SUM(C43:I43)</f>
        <v>0</v>
      </c>
    </row>
    <row r="45" spans="2:14" x14ac:dyDescent="0.35">
      <c r="B45" s="131" t="s">
        <v>407</v>
      </c>
      <c r="C45" s="131"/>
      <c r="D45" s="131"/>
      <c r="E45" s="131"/>
      <c r="F45" s="131"/>
      <c r="G45" s="131"/>
      <c r="H45" s="131"/>
      <c r="I45" s="131"/>
      <c r="J45" s="131"/>
    </row>
    <row r="46" spans="2:14" x14ac:dyDescent="0.35">
      <c r="B46" s="131"/>
      <c r="C46" s="131"/>
      <c r="D46" s="131"/>
      <c r="E46" s="131"/>
      <c r="F46" s="131"/>
      <c r="G46" s="131"/>
      <c r="H46" s="131"/>
      <c r="I46" s="131"/>
      <c r="J46" s="131"/>
      <c r="N46" s="61" t="s">
        <v>202</v>
      </c>
    </row>
    <row r="47" spans="2:14" x14ac:dyDescent="0.35">
      <c r="B47" s="4" t="s">
        <v>110</v>
      </c>
      <c r="C47" s="126" t="s">
        <v>39</v>
      </c>
      <c r="D47" s="126"/>
      <c r="E47" s="126"/>
      <c r="F47" s="126"/>
      <c r="G47" s="126"/>
      <c r="H47" s="126"/>
      <c r="I47" s="126"/>
      <c r="J47" s="2"/>
      <c r="N47" s="61" t="s">
        <v>205</v>
      </c>
    </row>
    <row r="48" spans="2:14" x14ac:dyDescent="0.35">
      <c r="B48" s="4" t="s">
        <v>1</v>
      </c>
      <c r="C48" s="5">
        <v>2020</v>
      </c>
      <c r="D48" s="5">
        <v>2021</v>
      </c>
      <c r="E48" s="5">
        <v>2022</v>
      </c>
      <c r="F48" s="5">
        <v>2023</v>
      </c>
      <c r="G48" s="5">
        <v>2024</v>
      </c>
      <c r="H48" s="5">
        <v>2025</v>
      </c>
      <c r="I48" s="5">
        <v>2026</v>
      </c>
      <c r="J48" s="10" t="s">
        <v>4</v>
      </c>
    </row>
    <row r="49" spans="2:14" x14ac:dyDescent="0.35">
      <c r="B49" s="4">
        <f>B38</f>
        <v>2020</v>
      </c>
      <c r="C49" s="25">
        <f>IF(C30=0,0,'A - Base data at Dec 31, 2019'!D197)</f>
        <v>2.2823928606751323</v>
      </c>
      <c r="D49" s="25">
        <f>'A - Base data at Dec 31, 2019'!E197</f>
        <v>2.0541535746076187</v>
      </c>
      <c r="E49" s="25">
        <f>'A - Base data at Dec 31, 2019'!F197</f>
        <v>1.8487382171468569</v>
      </c>
      <c r="F49" s="25">
        <f>'A - Base data at Dec 31, 2019'!G197</f>
        <v>1.6638643954321712</v>
      </c>
      <c r="G49" s="25">
        <f>'A - Base data at Dec 31, 2019'!H197</f>
        <v>1.4974779558889544</v>
      </c>
      <c r="H49" s="30"/>
      <c r="I49" s="30"/>
    </row>
    <row r="50" spans="2:14" x14ac:dyDescent="0.35">
      <c r="B50" s="4">
        <f t="shared" ref="B50:B53" si="2">B39</f>
        <v>2021</v>
      </c>
      <c r="C50" s="25"/>
      <c r="D50" s="25">
        <f>'A - Base data at Dec 31, 2019'!E198</f>
        <v>2.2823928606751323</v>
      </c>
      <c r="E50" s="25">
        <f>'A - Base data at Dec 31, 2019'!F198</f>
        <v>2.0541535746076187</v>
      </c>
      <c r="F50" s="25">
        <f>'A - Base data at Dec 31, 2019'!G198</f>
        <v>1.8487382171468569</v>
      </c>
      <c r="G50" s="25">
        <f>'A - Base data at Dec 31, 2019'!H198</f>
        <v>1.6638643954321712</v>
      </c>
      <c r="H50" s="30"/>
      <c r="I50" s="30"/>
    </row>
    <row r="51" spans="2:14" x14ac:dyDescent="0.35">
      <c r="B51" s="4">
        <f t="shared" si="2"/>
        <v>2022</v>
      </c>
      <c r="C51" s="25"/>
      <c r="D51" s="25"/>
      <c r="E51" s="25">
        <f>'A - Base data at Dec 31, 2019'!F199</f>
        <v>2.2823928606751323</v>
      </c>
      <c r="F51" s="25">
        <f>'A - Base data at Dec 31, 2019'!G199</f>
        <v>2.0541535746076187</v>
      </c>
      <c r="G51" s="25">
        <f>'A - Base data at Dec 31, 2019'!H199</f>
        <v>1.8487382171468569</v>
      </c>
      <c r="H51" s="30"/>
      <c r="I51" s="30"/>
    </row>
    <row r="52" spans="2:14" x14ac:dyDescent="0.35">
      <c r="B52" s="4">
        <f t="shared" si="2"/>
        <v>2023</v>
      </c>
      <c r="C52" s="25"/>
      <c r="D52" s="25"/>
      <c r="E52" s="25"/>
      <c r="F52" s="25">
        <f>'A - Base data at Dec 31, 2019'!G200</f>
        <v>2.2823928606751323</v>
      </c>
      <c r="G52" s="25">
        <f>'A - Base data at Dec 31, 2019'!H200</f>
        <v>2.0541535746076187</v>
      </c>
      <c r="H52" s="30"/>
      <c r="I52" s="30"/>
    </row>
    <row r="53" spans="2:14" x14ac:dyDescent="0.35">
      <c r="B53" s="4">
        <f t="shared" si="2"/>
        <v>2024</v>
      </c>
      <c r="C53" s="25"/>
      <c r="D53" s="25"/>
      <c r="E53" s="25"/>
      <c r="F53" s="25"/>
      <c r="G53" s="25">
        <f>'A - Base data at Dec 31, 2019'!H201</f>
        <v>2.2823928606751323</v>
      </c>
      <c r="H53" s="30"/>
      <c r="I53" s="30"/>
    </row>
    <row r="54" spans="2:14" x14ac:dyDescent="0.35">
      <c r="B54" s="5" t="s">
        <v>4</v>
      </c>
      <c r="C54" s="21">
        <f>SUM(C49:C53)</f>
        <v>2.2823928606751323</v>
      </c>
      <c r="D54" s="21">
        <f t="shared" ref="D54:I54" si="3">SUM(D49:D53)</f>
        <v>4.3365464352827505</v>
      </c>
      <c r="E54" s="21">
        <f t="shared" si="3"/>
        <v>6.1852846524296083</v>
      </c>
      <c r="F54" s="21">
        <f t="shared" si="3"/>
        <v>7.8491490478617791</v>
      </c>
      <c r="G54" s="21">
        <f t="shared" si="3"/>
        <v>9.3466270037507329</v>
      </c>
      <c r="H54" s="21">
        <f t="shared" si="3"/>
        <v>0</v>
      </c>
      <c r="I54" s="21">
        <f t="shared" si="3"/>
        <v>0</v>
      </c>
      <c r="J54" s="12">
        <f>SUM(C54:I54)</f>
        <v>30.000000000000004</v>
      </c>
    </row>
    <row r="56" spans="2:14" x14ac:dyDescent="0.35">
      <c r="B56" s="1" t="s">
        <v>408</v>
      </c>
      <c r="N56" s="61" t="s">
        <v>203</v>
      </c>
    </row>
    <row r="57" spans="2:14" x14ac:dyDescent="0.35">
      <c r="B57" s="4" t="s">
        <v>110</v>
      </c>
      <c r="C57" s="126" t="s">
        <v>39</v>
      </c>
      <c r="D57" s="126"/>
      <c r="E57" s="126"/>
      <c r="F57" s="126"/>
      <c r="G57" s="126"/>
      <c r="H57" s="126"/>
      <c r="I57" s="126"/>
      <c r="J57" s="2"/>
      <c r="N57" s="61" t="s">
        <v>206</v>
      </c>
    </row>
    <row r="58" spans="2:14" x14ac:dyDescent="0.35">
      <c r="B58" s="4" t="s">
        <v>1</v>
      </c>
      <c r="C58" s="5">
        <v>2020</v>
      </c>
      <c r="D58" s="5">
        <v>2021</v>
      </c>
      <c r="E58" s="5">
        <v>2022</v>
      </c>
      <c r="F58" s="5">
        <v>2023</v>
      </c>
      <c r="G58" s="5">
        <v>2024</v>
      </c>
      <c r="H58" s="5">
        <v>2025</v>
      </c>
      <c r="I58" s="5">
        <v>2026</v>
      </c>
      <c r="J58" s="10" t="s">
        <v>4</v>
      </c>
    </row>
    <row r="59" spans="2:14" x14ac:dyDescent="0.35">
      <c r="B59" s="4">
        <f>B49</f>
        <v>2020</v>
      </c>
      <c r="C59" s="25">
        <f>C38+C49</f>
        <v>2.2823928606751323</v>
      </c>
      <c r="D59" s="25">
        <f t="shared" ref="D59:G63" si="4">D38+D49</f>
        <v>2.0541535746076187</v>
      </c>
      <c r="E59" s="25">
        <f t="shared" si="4"/>
        <v>1.8487382171468569</v>
      </c>
      <c r="F59" s="25">
        <f t="shared" si="4"/>
        <v>1.6638643954321712</v>
      </c>
      <c r="G59" s="25">
        <f t="shared" si="4"/>
        <v>1.4974779558889544</v>
      </c>
    </row>
    <row r="60" spans="2:14" x14ac:dyDescent="0.35">
      <c r="B60" s="4">
        <f t="shared" ref="B60:B63" si="5">B50</f>
        <v>2021</v>
      </c>
      <c r="C60" s="25"/>
      <c r="D60" s="25">
        <f t="shared" si="4"/>
        <v>2.2823928606751323</v>
      </c>
      <c r="E60" s="25">
        <f t="shared" si="4"/>
        <v>2.0541535746076187</v>
      </c>
      <c r="F60" s="25">
        <f t="shared" si="4"/>
        <v>1.8487382171468569</v>
      </c>
      <c r="G60" s="25">
        <f t="shared" si="4"/>
        <v>1.6638643954321712</v>
      </c>
    </row>
    <row r="61" spans="2:14" x14ac:dyDescent="0.35">
      <c r="B61" s="4">
        <f t="shared" si="5"/>
        <v>2022</v>
      </c>
      <c r="C61" s="25"/>
      <c r="D61" s="25"/>
      <c r="E61" s="25">
        <f t="shared" si="4"/>
        <v>2.2823928606751323</v>
      </c>
      <c r="F61" s="25">
        <f t="shared" si="4"/>
        <v>2.0541535746076187</v>
      </c>
      <c r="G61" s="25">
        <f t="shared" si="4"/>
        <v>1.8487382171468569</v>
      </c>
    </row>
    <row r="62" spans="2:14" x14ac:dyDescent="0.35">
      <c r="B62" s="4">
        <f t="shared" si="5"/>
        <v>2023</v>
      </c>
      <c r="C62" s="25"/>
      <c r="D62" s="25"/>
      <c r="E62" s="25"/>
      <c r="F62" s="25">
        <f t="shared" si="4"/>
        <v>2.2823928606751323</v>
      </c>
      <c r="G62" s="25">
        <f t="shared" si="4"/>
        <v>2.0541535746076187</v>
      </c>
    </row>
    <row r="63" spans="2:14" x14ac:dyDescent="0.35">
      <c r="B63" s="4">
        <f t="shared" si="5"/>
        <v>2024</v>
      </c>
      <c r="C63" s="25"/>
      <c r="D63" s="25"/>
      <c r="E63" s="25"/>
      <c r="F63" s="25"/>
      <c r="G63" s="25">
        <f t="shared" si="4"/>
        <v>2.2823928606751323</v>
      </c>
    </row>
    <row r="64" spans="2:14" x14ac:dyDescent="0.35">
      <c r="B64" s="5" t="s">
        <v>4</v>
      </c>
      <c r="C64" s="21">
        <f>SUM(C59:C63)</f>
        <v>2.2823928606751323</v>
      </c>
      <c r="D64" s="21">
        <f t="shared" ref="D64:I64" si="6">SUM(D59:D63)</f>
        <v>4.3365464352827505</v>
      </c>
      <c r="E64" s="21">
        <f t="shared" si="6"/>
        <v>6.1852846524296083</v>
      </c>
      <c r="F64" s="21">
        <f t="shared" si="6"/>
        <v>7.8491490478617791</v>
      </c>
      <c r="G64" s="21">
        <f t="shared" si="6"/>
        <v>9.3466270037507329</v>
      </c>
      <c r="H64" s="21">
        <f t="shared" si="6"/>
        <v>0</v>
      </c>
      <c r="I64" s="21">
        <f t="shared" si="6"/>
        <v>0</v>
      </c>
      <c r="J64" s="12">
        <f>SUM(C64:I64)</f>
        <v>30.000000000000004</v>
      </c>
    </row>
  </sheetData>
  <mergeCells count="8">
    <mergeCell ref="C57:I57"/>
    <mergeCell ref="B34:J35"/>
    <mergeCell ref="B45:J46"/>
    <mergeCell ref="G11:I11"/>
    <mergeCell ref="C15:I15"/>
    <mergeCell ref="C28:I28"/>
    <mergeCell ref="C36:I36"/>
    <mergeCell ref="C47:I47"/>
  </mergeCells>
  <conditionalFormatting sqref="C6">
    <cfRule type="notContainsText" dxfId="21" priority="7" operator="notContains" text="not">
      <formula>ISERROR(SEARCH("not",C6))</formula>
    </cfRule>
    <cfRule type="containsText" dxfId="20" priority="8" operator="containsText" text="not">
      <formula>NOT(ISERROR(SEARCH("not",C6)))</formula>
    </cfRule>
  </conditionalFormatting>
  <conditionalFormatting sqref="E6">
    <cfRule type="notContainsText" dxfId="19" priority="4" operator="notContains" text="not">
      <formula>ISERROR(SEARCH("not",E6))</formula>
    </cfRule>
    <cfRule type="containsText" dxfId="18" priority="5" operator="containsText" text="not">
      <formula>NOT(ISERROR(SEARCH("not",E6)))</formula>
    </cfRule>
  </conditionalFormatting>
  <conditionalFormatting sqref="C11">
    <cfRule type="notContainsText" dxfId="17" priority="2" operator="notContains" text="not">
      <formula>ISERROR(SEARCH("not",C11))</formula>
    </cfRule>
    <cfRule type="containsText" dxfId="16" priority="3" operator="containsText" text="not">
      <formula>NOT(ISERROR(SEARCH("not",C11)))</formula>
    </cfRule>
  </conditionalFormatting>
  <conditionalFormatting sqref="G11">
    <cfRule type="containsText" dxfId="15" priority="1" operator="containsText" text="onerous">
      <formula>NOT(ISERROR(SEARCH("onerous",G11)))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149"/>
  <sheetViews>
    <sheetView topLeftCell="A124" zoomScaleNormal="100" workbookViewId="0">
      <selection activeCell="M150" sqref="M150"/>
    </sheetView>
  </sheetViews>
  <sheetFormatPr defaultColWidth="10.90625" defaultRowHeight="14.5" x14ac:dyDescent="0.35"/>
  <cols>
    <col min="1" max="1" width="2.81640625" customWidth="1"/>
    <col min="2" max="2" width="25" customWidth="1"/>
    <col min="3" max="3" width="13.90625" customWidth="1"/>
    <col min="4" max="4" width="16.453125" customWidth="1"/>
    <col min="15" max="15" width="44.81640625" style="61" customWidth="1"/>
  </cols>
  <sheetData>
    <row r="1" spans="2:15" x14ac:dyDescent="0.35">
      <c r="B1" s="22" t="s">
        <v>122</v>
      </c>
      <c r="O1" s="22" t="s">
        <v>123</v>
      </c>
    </row>
    <row r="3" spans="2:15" x14ac:dyDescent="0.35">
      <c r="B3" t="s">
        <v>45</v>
      </c>
    </row>
    <row r="5" spans="2:15" x14ac:dyDescent="0.35">
      <c r="B5" s="14" t="s">
        <v>158</v>
      </c>
      <c r="C5" s="23" t="str">
        <f>IF('B - Onerous at Dec 31, 2019'!J30&gt;0,"are","are no")</f>
        <v>are</v>
      </c>
      <c r="D5" s="17" t="s">
        <v>159</v>
      </c>
      <c r="E5" s="23" t="str">
        <f>IF(C5="are","could","could not")</f>
        <v>could</v>
      </c>
      <c r="F5" t="s">
        <v>46</v>
      </c>
    </row>
    <row r="7" spans="2:15" s="28" customFormat="1" x14ac:dyDescent="0.35">
      <c r="O7" s="63"/>
    </row>
    <row r="8" spans="2:15" x14ac:dyDescent="0.35">
      <c r="B8" s="1" t="s">
        <v>47</v>
      </c>
    </row>
    <row r="10" spans="2:15" x14ac:dyDescent="0.35">
      <c r="B10" s="34" t="s">
        <v>348</v>
      </c>
    </row>
    <row r="12" spans="2:15" x14ac:dyDescent="0.35">
      <c r="B12" s="3" t="s">
        <v>118</v>
      </c>
      <c r="O12" s="61" t="s">
        <v>118</v>
      </c>
    </row>
    <row r="13" spans="2:15" x14ac:dyDescent="0.35">
      <c r="B13" s="78"/>
      <c r="C13" s="79"/>
      <c r="D13" s="79"/>
      <c r="E13" s="137" t="s">
        <v>0</v>
      </c>
      <c r="F13" s="137"/>
      <c r="G13" s="137"/>
      <c r="H13" s="137"/>
      <c r="I13" s="137"/>
      <c r="J13" s="137"/>
      <c r="K13" s="138"/>
    </row>
    <row r="14" spans="2:15" x14ac:dyDescent="0.35">
      <c r="B14" s="80"/>
      <c r="C14" s="46"/>
      <c r="D14" s="46"/>
      <c r="E14" s="81">
        <v>2020</v>
      </c>
      <c r="F14" s="81">
        <v>2021</v>
      </c>
      <c r="G14" s="81">
        <v>2022</v>
      </c>
      <c r="H14" s="81">
        <v>2023</v>
      </c>
      <c r="I14" s="81">
        <v>2024</v>
      </c>
      <c r="J14" s="81">
        <v>2025</v>
      </c>
      <c r="K14" s="82">
        <v>2026</v>
      </c>
    </row>
    <row r="15" spans="2:15" x14ac:dyDescent="0.35">
      <c r="B15" s="83" t="s">
        <v>409</v>
      </c>
      <c r="C15" s="84"/>
      <c r="D15" s="84"/>
      <c r="E15" s="85">
        <f>IF(E19=0,0,'A - Base data at Dec 31, 2019'!N179)</f>
        <v>10.394098280933029</v>
      </c>
      <c r="F15" s="85">
        <f>IF(F19=0,0,'A - Base data at Dec 31, 2019'!O179)</f>
        <v>19.361555621345836</v>
      </c>
      <c r="G15" s="85">
        <f>IF(G19=0,0,'A - Base data at Dec 31, 2019'!P179)</f>
        <v>27.074208324998569</v>
      </c>
      <c r="H15" s="85">
        <f>IF(H19=0,0,'A - Base data at Dec 31, 2019'!Q179)</f>
        <v>33.683598303187196</v>
      </c>
      <c r="I15" s="85">
        <f>IF(I19=0,0,'A - Base data at Dec 31, 2019'!R179)</f>
        <v>39.323362186734045</v>
      </c>
      <c r="J15" s="85">
        <f>IF(J19=0,0,'A - Base data at Dec 31, 2019'!S179)</f>
        <v>0</v>
      </c>
      <c r="K15" s="86">
        <f>IF(K19=0,0,'A - Base data at Dec 31, 2019'!T179)</f>
        <v>0</v>
      </c>
      <c r="O15" s="61" t="s">
        <v>410</v>
      </c>
    </row>
    <row r="16" spans="2:15" x14ac:dyDescent="0.35">
      <c r="B16" s="87" t="s">
        <v>49</v>
      </c>
      <c r="C16" s="27"/>
      <c r="D16" s="27"/>
      <c r="E16" s="31">
        <f>IF(E19=0,0,IF('A - Base data at Dec 31, 2019'!$F$11=0,SUM('A - Base data at Dec 31, 2019'!N123:N127)+SUM('A - Base data at Dec 31, 2019'!N133:N137),SUM('A - Base data at Dec 31, 2019'!N123:N127)+SUM('A - Base data at Dec 31, 2019'!N134:N137)))</f>
        <v>8.3333333333333339</v>
      </c>
      <c r="F16" s="31">
        <f>IF(F19=0,0,IF('A - Base data at Dec 31, 2019'!$F$11=0,SUM('A - Base data at Dec 31, 2019'!O123:O127)+SUM('A - Base data at Dec 31, 2019'!O133:O137),SUM('A - Base data at Dec 31, 2019'!O123:O127)+SUM('A - Base data at Dec 31, 2019'!O134:O137)))</f>
        <v>16.503267973856211</v>
      </c>
      <c r="G16" s="31">
        <f>IF(G19=0,0,IF('A - Base data at Dec 31, 2019'!$F$11=0,SUM('A - Base data at Dec 31, 2019'!P123:P127)+SUM('A - Base data at Dec 31, 2019'!P133:P137),SUM('A - Base data at Dec 31, 2019'!P123:P127)+SUM('A - Base data at Dec 31, 2019'!P134:P137)))</f>
        <v>24.513007817506089</v>
      </c>
      <c r="H16" s="31">
        <f>IF(H19=0,0,IF('A - Base data at Dec 31, 2019'!$F$11=0,SUM('A - Base data at Dec 31, 2019'!Q123:Q127)+SUM('A - Base data at Dec 31, 2019'!Q133:Q137),SUM('A - Base data at Dec 31, 2019'!Q123:Q127)+SUM('A - Base data at Dec 31, 2019'!Q134:Q137)))</f>
        <v>24.032360605398125</v>
      </c>
      <c r="I16" s="31">
        <f>IF(I19=0,0,IF('A - Base data at Dec 31, 2019'!$F$11=0,SUM('A - Base data at Dec 31, 2019'!R123:R127)+SUM('A - Base data at Dec 31, 2019'!R133:R137),SUM('A - Base data at Dec 31, 2019'!R123:R127)+SUM('A - Base data at Dec 31, 2019'!R134:R137)))</f>
        <v>23.561137848429535</v>
      </c>
      <c r="J16" s="31">
        <f>IF(J19=0,0,IF('A - Base data at Dec 31, 2019'!$F$11=0,SUM('A - Base data at Dec 31, 2019'!S123:S127)+SUM('A - Base data at Dec 31, 2019'!S133:S137),SUM('A - Base data at Dec 31, 2019'!S123:S127)+SUM('A - Base data at Dec 31, 2019'!S134:S137)))</f>
        <v>0</v>
      </c>
      <c r="K16" s="88">
        <f>IF(K19=0,0,IF('A - Base data at Dec 31, 2019'!$F$11=0,SUM('A - Base data at Dec 31, 2019'!T123:T127)+SUM('A - Base data at Dec 31, 2019'!T133:T137),SUM('A - Base data at Dec 31, 2019'!T123:T127)+SUM('A - Base data at Dec 31, 2019'!T134:T137)))</f>
        <v>0</v>
      </c>
      <c r="O16" s="61" t="s">
        <v>411</v>
      </c>
    </row>
    <row r="17" spans="2:15" x14ac:dyDescent="0.35">
      <c r="B17" s="83" t="s">
        <v>48</v>
      </c>
      <c r="C17" s="84"/>
      <c r="D17" s="84"/>
      <c r="E17" s="85">
        <f>E15-E16</f>
        <v>2.0607649475996954</v>
      </c>
      <c r="F17" s="85">
        <f t="shared" ref="F17:K17" si="0">F15-F16</f>
        <v>2.8582876474896253</v>
      </c>
      <c r="G17" s="85">
        <f t="shared" si="0"/>
        <v>2.5612005074924795</v>
      </c>
      <c r="H17" s="85">
        <f t="shared" si="0"/>
        <v>9.651237697789071</v>
      </c>
      <c r="I17" s="85">
        <f t="shared" si="0"/>
        <v>15.76222433830451</v>
      </c>
      <c r="J17" s="85">
        <f t="shared" si="0"/>
        <v>0</v>
      </c>
      <c r="K17" s="86">
        <f t="shared" si="0"/>
        <v>0</v>
      </c>
      <c r="O17" s="61" t="s">
        <v>233</v>
      </c>
    </row>
    <row r="18" spans="2:15" x14ac:dyDescent="0.35">
      <c r="B18" s="83"/>
      <c r="C18" s="84"/>
      <c r="D18" s="84"/>
      <c r="E18" s="89"/>
      <c r="F18" s="89"/>
      <c r="G18" s="89"/>
      <c r="H18" s="89"/>
      <c r="I18" s="89"/>
      <c r="J18" s="89"/>
      <c r="K18" s="90"/>
    </row>
    <row r="19" spans="2:15" x14ac:dyDescent="0.35">
      <c r="B19" s="83" t="s">
        <v>50</v>
      </c>
      <c r="C19" s="84"/>
      <c r="D19" s="84"/>
      <c r="E19" s="33">
        <f>'B - Onerous at Dec 31, 2019'!C30</f>
        <v>2.2823928606751323</v>
      </c>
      <c r="F19" s="33">
        <f>'B - Onerous at Dec 31, 2019'!D30</f>
        <v>4.3365464352827505</v>
      </c>
      <c r="G19" s="33">
        <f>'B - Onerous at Dec 31, 2019'!E30</f>
        <v>6.1852846524296083</v>
      </c>
      <c r="H19" s="33">
        <f>'B - Onerous at Dec 31, 2019'!F30</f>
        <v>7.8491490478617791</v>
      </c>
      <c r="I19" s="33">
        <f>'B - Onerous at Dec 31, 2019'!G30</f>
        <v>9.3466270037507329</v>
      </c>
      <c r="J19" s="33">
        <f>'B - Onerous at Dec 31, 2019'!H30</f>
        <v>0</v>
      </c>
      <c r="K19" s="91">
        <f>'B - Onerous at Dec 31, 2019'!I30</f>
        <v>0</v>
      </c>
      <c r="O19" s="61" t="s">
        <v>207</v>
      </c>
    </row>
    <row r="20" spans="2:15" x14ac:dyDescent="0.35">
      <c r="B20" s="92" t="s">
        <v>51</v>
      </c>
      <c r="C20" s="26"/>
      <c r="D20" s="26"/>
      <c r="E20" s="103">
        <f>E17-E19</f>
        <v>-0.22162791307543683</v>
      </c>
      <c r="F20" s="103">
        <f>F17-F19</f>
        <v>-1.4782587877931253</v>
      </c>
      <c r="G20" s="103">
        <f t="shared" ref="G20:K20" si="1">G17-G19</f>
        <v>-3.6240841449371288</v>
      </c>
      <c r="H20" s="103">
        <f t="shared" si="1"/>
        <v>1.8020886499272919</v>
      </c>
      <c r="I20" s="103">
        <f t="shared" si="1"/>
        <v>6.4155973345537767</v>
      </c>
      <c r="J20" s="103">
        <f t="shared" si="1"/>
        <v>0</v>
      </c>
      <c r="K20" s="104">
        <f t="shared" si="1"/>
        <v>0</v>
      </c>
      <c r="O20" s="61" t="s">
        <v>234</v>
      </c>
    </row>
    <row r="21" spans="2:15" x14ac:dyDescent="0.35">
      <c r="B21" s="61"/>
      <c r="C21" s="46"/>
      <c r="D21" s="46"/>
      <c r="E21" s="46" t="str">
        <f>IF(E19=0,"",IF(E20&gt;=0,"Pass","Fail"))</f>
        <v>Fail</v>
      </c>
      <c r="F21" s="46" t="str">
        <f t="shared" ref="F21:K21" si="2">IF(F19=0,"",IF(F20&gt;=0,"Pass","Fail"))</f>
        <v>Fail</v>
      </c>
      <c r="G21" s="46" t="str">
        <f t="shared" si="2"/>
        <v>Fail</v>
      </c>
      <c r="H21" s="46" t="str">
        <f t="shared" si="2"/>
        <v>Pass</v>
      </c>
      <c r="I21" s="46" t="str">
        <f t="shared" si="2"/>
        <v>Pass</v>
      </c>
      <c r="J21" s="46" t="str">
        <f t="shared" si="2"/>
        <v/>
      </c>
      <c r="K21" s="93" t="str">
        <f t="shared" si="2"/>
        <v/>
      </c>
    </row>
    <row r="22" spans="2:15" x14ac:dyDescent="0.35">
      <c r="B22" s="63"/>
      <c r="C22" s="32"/>
      <c r="D22" s="32"/>
      <c r="E22" s="32"/>
      <c r="F22" s="32"/>
      <c r="G22" s="32"/>
      <c r="H22" s="32"/>
      <c r="I22" s="32"/>
      <c r="J22" s="32"/>
      <c r="K22" s="94"/>
    </row>
    <row r="23" spans="2:15" x14ac:dyDescent="0.35">
      <c r="B23" s="95" t="s">
        <v>208</v>
      </c>
      <c r="C23" s="32"/>
      <c r="D23" s="32"/>
      <c r="E23" s="31">
        <f t="shared" ref="E23:K23" si="3">MIN(IF(E20&lt;0,-E20,0),E19)</f>
        <v>0.22162791307543683</v>
      </c>
      <c r="F23" s="31">
        <f t="shared" si="3"/>
        <v>1.4782587877931253</v>
      </c>
      <c r="G23" s="31">
        <f t="shared" si="3"/>
        <v>3.6240841449371288</v>
      </c>
      <c r="H23" s="31">
        <f t="shared" si="3"/>
        <v>0</v>
      </c>
      <c r="I23" s="31">
        <f t="shared" si="3"/>
        <v>0</v>
      </c>
      <c r="J23" s="31">
        <f t="shared" si="3"/>
        <v>0</v>
      </c>
      <c r="K23" s="88">
        <f t="shared" si="3"/>
        <v>0</v>
      </c>
      <c r="O23" s="61" t="s">
        <v>209</v>
      </c>
    </row>
    <row r="24" spans="2:15" s="28" customFormat="1" x14ac:dyDescent="0.35">
      <c r="O24" s="63" t="s">
        <v>306</v>
      </c>
    </row>
    <row r="25" spans="2:15" x14ac:dyDescent="0.35">
      <c r="B25" s="34" t="s">
        <v>52</v>
      </c>
    </row>
    <row r="27" spans="2:15" s="75" customFormat="1" ht="30.65" customHeight="1" x14ac:dyDescent="0.35">
      <c r="E27" s="132" t="s">
        <v>412</v>
      </c>
      <c r="F27" s="132"/>
      <c r="G27" s="132"/>
      <c r="H27" s="132"/>
      <c r="I27" s="132"/>
      <c r="J27" s="132"/>
      <c r="K27" s="132"/>
      <c r="L27" s="132"/>
      <c r="O27" s="76"/>
    </row>
    <row r="28" spans="2:15" x14ac:dyDescent="0.35">
      <c r="E28" s="126" t="s">
        <v>39</v>
      </c>
      <c r="F28" s="126"/>
      <c r="G28" s="126"/>
      <c r="H28" s="126"/>
      <c r="I28" s="126"/>
      <c r="J28" s="126"/>
      <c r="K28" s="126"/>
      <c r="L28" s="2"/>
    </row>
    <row r="29" spans="2:15" x14ac:dyDescent="0.35">
      <c r="E29" s="5">
        <v>2020</v>
      </c>
      <c r="F29" s="5">
        <v>2021</v>
      </c>
      <c r="G29" s="5">
        <v>2022</v>
      </c>
      <c r="H29" s="5">
        <v>2023</v>
      </c>
      <c r="I29" s="5">
        <v>2024</v>
      </c>
      <c r="J29" s="5">
        <v>2025</v>
      </c>
      <c r="K29" s="5">
        <v>2026</v>
      </c>
      <c r="L29" s="10" t="s">
        <v>4</v>
      </c>
      <c r="O29" s="61" t="s">
        <v>210</v>
      </c>
    </row>
    <row r="30" spans="2:15" x14ac:dyDescent="0.35">
      <c r="E30" s="7">
        <f t="shared" ref="E30:J30" si="4">E19</f>
        <v>2.2823928606751323</v>
      </c>
      <c r="F30" s="7">
        <f t="shared" si="4"/>
        <v>4.3365464352827505</v>
      </c>
      <c r="G30" s="7">
        <f t="shared" si="4"/>
        <v>6.1852846524296083</v>
      </c>
      <c r="H30" s="7">
        <f t="shared" si="4"/>
        <v>7.8491490478617791</v>
      </c>
      <c r="I30" s="7">
        <f t="shared" si="4"/>
        <v>9.3466270037507329</v>
      </c>
      <c r="J30" s="7">
        <f t="shared" si="4"/>
        <v>0</v>
      </c>
      <c r="K30" s="7">
        <f>K19</f>
        <v>0</v>
      </c>
      <c r="L30" s="12">
        <f>SUM(E30:K30)</f>
        <v>30.000000000000004</v>
      </c>
      <c r="O30" s="61" t="s">
        <v>211</v>
      </c>
    </row>
    <row r="32" spans="2:15" x14ac:dyDescent="0.35">
      <c r="E32" s="1" t="s">
        <v>413</v>
      </c>
    </row>
    <row r="33" spans="2:15" x14ac:dyDescent="0.35">
      <c r="E33" s="5">
        <v>2020</v>
      </c>
      <c r="F33" s="5">
        <v>2021</v>
      </c>
      <c r="G33" s="5">
        <v>2022</v>
      </c>
      <c r="H33" s="5">
        <v>2023</v>
      </c>
      <c r="I33" s="5">
        <v>2024</v>
      </c>
      <c r="J33" s="5">
        <v>2025</v>
      </c>
      <c r="K33" s="5">
        <v>2026</v>
      </c>
      <c r="L33" s="10" t="s">
        <v>4</v>
      </c>
      <c r="O33" s="61" t="s">
        <v>212</v>
      </c>
    </row>
    <row r="34" spans="2:15" x14ac:dyDescent="0.35">
      <c r="E34" s="7">
        <f>E23</f>
        <v>0.22162791307543683</v>
      </c>
      <c r="F34" s="7">
        <f t="shared" ref="F34:K34" si="5">F23</f>
        <v>1.4782587877931253</v>
      </c>
      <c r="G34" s="7">
        <f t="shared" si="5"/>
        <v>3.6240841449371288</v>
      </c>
      <c r="H34" s="7">
        <f t="shared" si="5"/>
        <v>0</v>
      </c>
      <c r="I34" s="7">
        <f t="shared" si="5"/>
        <v>0</v>
      </c>
      <c r="J34" s="7">
        <f t="shared" si="5"/>
        <v>0</v>
      </c>
      <c r="K34" s="7">
        <f t="shared" si="5"/>
        <v>0</v>
      </c>
      <c r="L34" s="12">
        <f>SUM(E34:K34)</f>
        <v>5.3239708458056914</v>
      </c>
      <c r="O34" s="61" t="s">
        <v>213</v>
      </c>
    </row>
    <row r="35" spans="2:15" x14ac:dyDescent="0.35">
      <c r="E35" s="7"/>
      <c r="F35" s="7"/>
      <c r="G35" s="7"/>
      <c r="H35" s="7"/>
      <c r="I35" s="7"/>
      <c r="J35" s="7"/>
      <c r="K35" s="7"/>
    </row>
    <row r="36" spans="2:15" x14ac:dyDescent="0.35">
      <c r="E36" s="24" t="s">
        <v>54</v>
      </c>
      <c r="G36" s="7"/>
      <c r="H36" s="7"/>
      <c r="I36" s="7"/>
      <c r="J36" s="7"/>
      <c r="K36" s="7"/>
    </row>
    <row r="38" spans="2:15" s="75" customFormat="1" ht="28.75" customHeight="1" x14ac:dyDescent="0.35">
      <c r="E38" s="132" t="s">
        <v>414</v>
      </c>
      <c r="F38" s="132"/>
      <c r="G38" s="132"/>
      <c r="H38" s="132"/>
      <c r="I38" s="132"/>
      <c r="J38" s="132"/>
      <c r="K38" s="132"/>
      <c r="L38" s="132"/>
      <c r="O38" s="61"/>
    </row>
    <row r="39" spans="2:15" x14ac:dyDescent="0.35">
      <c r="E39" s="126" t="s">
        <v>39</v>
      </c>
      <c r="F39" s="126"/>
      <c r="G39" s="126"/>
      <c r="H39" s="126"/>
      <c r="I39" s="126"/>
      <c r="J39" s="126"/>
      <c r="K39" s="126"/>
      <c r="L39" s="2"/>
      <c r="O39" s="76" t="s">
        <v>214</v>
      </c>
    </row>
    <row r="40" spans="2:15" x14ac:dyDescent="0.35">
      <c r="E40" s="5">
        <v>2020</v>
      </c>
      <c r="F40" s="5">
        <v>2021</v>
      </c>
      <c r="G40" s="5">
        <v>2022</v>
      </c>
      <c r="H40" s="5">
        <v>2023</v>
      </c>
      <c r="I40" s="5">
        <v>2024</v>
      </c>
      <c r="J40" s="5">
        <v>2025</v>
      </c>
      <c r="K40" s="5">
        <v>2026</v>
      </c>
      <c r="L40" s="10" t="s">
        <v>4</v>
      </c>
      <c r="O40" s="61" t="s">
        <v>215</v>
      </c>
    </row>
    <row r="41" spans="2:15" x14ac:dyDescent="0.35">
      <c r="E41" s="7">
        <f t="shared" ref="E41:K41" si="6">E30-E34</f>
        <v>2.0607649475996954</v>
      </c>
      <c r="F41" s="7">
        <f t="shared" si="6"/>
        <v>2.8582876474896253</v>
      </c>
      <c r="G41" s="7">
        <f t="shared" si="6"/>
        <v>2.5612005074924795</v>
      </c>
      <c r="H41" s="7">
        <f t="shared" si="6"/>
        <v>7.8491490478617791</v>
      </c>
      <c r="I41" s="7">
        <f t="shared" si="6"/>
        <v>9.3466270037507329</v>
      </c>
      <c r="J41" s="7">
        <f t="shared" si="6"/>
        <v>0</v>
      </c>
      <c r="K41" s="7">
        <f t="shared" si="6"/>
        <v>0</v>
      </c>
      <c r="L41" s="12">
        <f>SUM(E41:K41)</f>
        <v>24.67602915419431</v>
      </c>
    </row>
    <row r="43" spans="2:15" s="28" customFormat="1" x14ac:dyDescent="0.35">
      <c r="O43" s="63"/>
    </row>
    <row r="44" spans="2:15" x14ac:dyDescent="0.35">
      <c r="B44" t="s">
        <v>55</v>
      </c>
    </row>
    <row r="46" spans="2:15" x14ac:dyDescent="0.35">
      <c r="C46" s="1" t="s">
        <v>415</v>
      </c>
    </row>
    <row r="47" spans="2:15" x14ac:dyDescent="0.35">
      <c r="C47" s="1" t="s">
        <v>56</v>
      </c>
    </row>
    <row r="48" spans="2:15" x14ac:dyDescent="0.35">
      <c r="C48" s="1"/>
    </row>
    <row r="49" spans="3:15" x14ac:dyDescent="0.35">
      <c r="C49" s="1"/>
      <c r="D49" s="136" t="s">
        <v>416</v>
      </c>
      <c r="E49" s="136"/>
      <c r="F49" s="136"/>
      <c r="G49" s="136"/>
      <c r="H49" s="136"/>
      <c r="I49" s="136"/>
      <c r="J49" s="136"/>
      <c r="K49" s="136"/>
      <c r="L49" s="136"/>
    </row>
    <row r="50" spans="3:15" x14ac:dyDescent="0.35">
      <c r="C50" s="1"/>
      <c r="D50" s="136"/>
      <c r="E50" s="136"/>
      <c r="F50" s="136"/>
      <c r="G50" s="136"/>
      <c r="H50" s="136"/>
      <c r="I50" s="136"/>
      <c r="J50" s="136"/>
      <c r="K50" s="136"/>
      <c r="L50" s="136"/>
    </row>
    <row r="51" spans="3:15" x14ac:dyDescent="0.35">
      <c r="C51" s="1"/>
      <c r="D51" s="4" t="s">
        <v>110</v>
      </c>
      <c r="E51" s="126" t="s">
        <v>39</v>
      </c>
      <c r="F51" s="126"/>
      <c r="G51" s="126"/>
      <c r="H51" s="126"/>
      <c r="I51" s="126"/>
      <c r="J51" s="126"/>
      <c r="K51" s="126"/>
      <c r="L51" s="2"/>
    </row>
    <row r="52" spans="3:15" x14ac:dyDescent="0.35">
      <c r="C52" s="1"/>
      <c r="D52" s="4" t="s">
        <v>1</v>
      </c>
      <c r="E52" s="5">
        <v>2020</v>
      </c>
      <c r="F52" s="5">
        <v>2021</v>
      </c>
      <c r="G52" s="5">
        <v>2022</v>
      </c>
      <c r="H52" s="5">
        <v>2023</v>
      </c>
      <c r="I52" s="5">
        <v>2024</v>
      </c>
      <c r="J52" s="5">
        <v>2025</v>
      </c>
      <c r="K52" s="5">
        <v>2026</v>
      </c>
      <c r="L52" s="10" t="s">
        <v>4</v>
      </c>
      <c r="O52" s="61" t="s">
        <v>217</v>
      </c>
    </row>
    <row r="53" spans="3:15" x14ac:dyDescent="0.35">
      <c r="C53" s="1"/>
      <c r="D53" s="5" t="s">
        <v>4</v>
      </c>
      <c r="E53" s="21">
        <f>'B - Onerous at Dec 31, 2019'!C43</f>
        <v>0</v>
      </c>
      <c r="F53" s="21">
        <f>'B - Onerous at Dec 31, 2019'!D43</f>
        <v>0</v>
      </c>
      <c r="G53" s="21">
        <f>'B - Onerous at Dec 31, 2019'!E43</f>
        <v>0</v>
      </c>
      <c r="H53" s="21">
        <f>'B - Onerous at Dec 31, 2019'!F43</f>
        <v>0</v>
      </c>
      <c r="I53" s="21">
        <f>'B - Onerous at Dec 31, 2019'!G43</f>
        <v>0</v>
      </c>
      <c r="J53" s="21">
        <f>'B - Onerous at Dec 31, 2019'!H43</f>
        <v>0</v>
      </c>
      <c r="K53" s="21">
        <f>'B - Onerous at Dec 31, 2019'!I43</f>
        <v>0</v>
      </c>
      <c r="L53" s="12">
        <f>SUM(E53:K53)</f>
        <v>0</v>
      </c>
      <c r="O53" s="61" t="s">
        <v>216</v>
      </c>
    </row>
    <row r="54" spans="3:15" x14ac:dyDescent="0.35">
      <c r="C54" s="1"/>
    </row>
    <row r="55" spans="3:15" x14ac:dyDescent="0.35">
      <c r="C55" s="1"/>
      <c r="D55" s="136" t="s">
        <v>417</v>
      </c>
      <c r="E55" s="136"/>
      <c r="F55" s="136"/>
      <c r="G55" s="136"/>
      <c r="H55" s="136"/>
      <c r="I55" s="136"/>
      <c r="J55" s="136"/>
      <c r="K55" s="136"/>
      <c r="L55" s="136"/>
    </row>
    <row r="56" spans="3:15" x14ac:dyDescent="0.35">
      <c r="C56" s="1"/>
      <c r="D56" s="136"/>
      <c r="E56" s="136"/>
      <c r="F56" s="136"/>
      <c r="G56" s="136"/>
      <c r="H56" s="136"/>
      <c r="I56" s="136"/>
      <c r="J56" s="136"/>
      <c r="K56" s="136"/>
      <c r="L56" s="136"/>
    </row>
    <row r="57" spans="3:15" x14ac:dyDescent="0.35">
      <c r="C57" s="1"/>
      <c r="D57" s="4" t="s">
        <v>110</v>
      </c>
      <c r="E57" s="126" t="s">
        <v>39</v>
      </c>
      <c r="F57" s="126"/>
      <c r="G57" s="126"/>
      <c r="H57" s="126"/>
      <c r="I57" s="126"/>
      <c r="J57" s="126"/>
      <c r="K57" s="126"/>
      <c r="L57" s="2"/>
    </row>
    <row r="58" spans="3:15" x14ac:dyDescent="0.35">
      <c r="C58" s="1"/>
      <c r="D58" s="4" t="s">
        <v>1</v>
      </c>
      <c r="E58" s="5">
        <v>2020</v>
      </c>
      <c r="F58" s="5">
        <v>2021</v>
      </c>
      <c r="G58" s="5">
        <v>2022</v>
      </c>
      <c r="H58" s="5">
        <v>2023</v>
      </c>
      <c r="I58" s="5">
        <v>2024</v>
      </c>
      <c r="J58" s="5">
        <v>2025</v>
      </c>
      <c r="K58" s="5">
        <v>2026</v>
      </c>
      <c r="L58" s="10" t="s">
        <v>4</v>
      </c>
      <c r="O58" s="61" t="s">
        <v>218</v>
      </c>
    </row>
    <row r="59" spans="3:15" x14ac:dyDescent="0.35">
      <c r="C59" s="1"/>
      <c r="D59" s="5" t="s">
        <v>4</v>
      </c>
      <c r="E59" s="21">
        <f>-MIN(E53-E34,0)</f>
        <v>0.22162791307543683</v>
      </c>
      <c r="F59" s="21">
        <f t="shared" ref="F59:K59" si="7">-MIN(F53-F34,0)</f>
        <v>1.4782587877931253</v>
      </c>
      <c r="G59" s="21">
        <f>-MIN(G53-G34,0)</f>
        <v>3.6240841449371288</v>
      </c>
      <c r="H59" s="21">
        <f t="shared" si="7"/>
        <v>0</v>
      </c>
      <c r="I59" s="21">
        <f t="shared" si="7"/>
        <v>0</v>
      </c>
      <c r="J59" s="21">
        <f t="shared" si="7"/>
        <v>0</v>
      </c>
      <c r="K59" s="21">
        <f t="shared" si="7"/>
        <v>0</v>
      </c>
      <c r="L59" s="12">
        <f>SUM(E59:K59)</f>
        <v>5.3239708458056914</v>
      </c>
      <c r="O59" s="61" t="s">
        <v>317</v>
      </c>
    </row>
    <row r="60" spans="3:15" x14ac:dyDescent="0.35">
      <c r="C60" s="1"/>
    </row>
    <row r="61" spans="3:15" x14ac:dyDescent="0.35">
      <c r="C61" s="1"/>
      <c r="D61" s="132" t="s">
        <v>418</v>
      </c>
      <c r="E61" s="132"/>
      <c r="F61" s="132"/>
      <c r="G61" s="132"/>
      <c r="H61" s="132"/>
      <c r="I61" s="132"/>
      <c r="J61" s="132"/>
      <c r="K61" s="132"/>
      <c r="L61" s="132"/>
    </row>
    <row r="62" spans="3:15" x14ac:dyDescent="0.35">
      <c r="D62" s="132"/>
      <c r="E62" s="132"/>
      <c r="F62" s="132"/>
      <c r="G62" s="132"/>
      <c r="H62" s="132"/>
      <c r="I62" s="132"/>
      <c r="J62" s="132"/>
      <c r="K62" s="132"/>
      <c r="L62" s="132"/>
    </row>
    <row r="63" spans="3:15" x14ac:dyDescent="0.35">
      <c r="D63" s="4" t="s">
        <v>110</v>
      </c>
      <c r="E63" s="126" t="s">
        <v>39</v>
      </c>
      <c r="F63" s="126"/>
      <c r="G63" s="126"/>
      <c r="H63" s="126"/>
      <c r="I63" s="126"/>
      <c r="J63" s="126"/>
      <c r="K63" s="126"/>
      <c r="L63" s="2"/>
    </row>
    <row r="64" spans="3:15" x14ac:dyDescent="0.35">
      <c r="D64" s="4" t="s">
        <v>1</v>
      </c>
      <c r="E64" s="5">
        <v>2020</v>
      </c>
      <c r="F64" s="5">
        <v>2021</v>
      </c>
      <c r="G64" s="5">
        <v>2022</v>
      </c>
      <c r="H64" s="5">
        <v>2023</v>
      </c>
      <c r="I64" s="5">
        <v>2024</v>
      </c>
      <c r="J64" s="5">
        <v>2025</v>
      </c>
      <c r="K64" s="5">
        <v>2026</v>
      </c>
      <c r="L64" s="10" t="s">
        <v>4</v>
      </c>
      <c r="O64" s="61" t="s">
        <v>219</v>
      </c>
    </row>
    <row r="65" spans="4:15" x14ac:dyDescent="0.35">
      <c r="D65" s="4">
        <f>'B - Onerous at Dec 31, 2019'!B59</f>
        <v>2020</v>
      </c>
      <c r="E65" s="25">
        <f>MAX('B - Onerous at Dec 31, 2019'!C38-E34,0)</f>
        <v>0</v>
      </c>
      <c r="F65" s="25">
        <f>MAX('B - Onerous at Dec 31, 2019'!D38-F34,0)</f>
        <v>0</v>
      </c>
      <c r="G65" s="25">
        <f>MAX('B - Onerous at Dec 31, 2019'!E38-G34,0)</f>
        <v>0</v>
      </c>
      <c r="O65" s="61" t="s">
        <v>220</v>
      </c>
    </row>
    <row r="66" spans="4:15" x14ac:dyDescent="0.35">
      <c r="D66" s="4">
        <f>'B - Onerous at Dec 31, 2019'!B60</f>
        <v>2021</v>
      </c>
    </row>
    <row r="67" spans="4:15" x14ac:dyDescent="0.35">
      <c r="D67" s="4">
        <f>'B - Onerous at Dec 31, 2019'!B61</f>
        <v>2022</v>
      </c>
    </row>
    <row r="68" spans="4:15" x14ac:dyDescent="0.35">
      <c r="D68" s="4">
        <f>'B - Onerous at Dec 31, 2019'!B62</f>
        <v>2023</v>
      </c>
    </row>
    <row r="69" spans="4:15" x14ac:dyDescent="0.35">
      <c r="D69" s="4">
        <f>'B - Onerous at Dec 31, 2019'!B63</f>
        <v>2024</v>
      </c>
    </row>
    <row r="70" spans="4:15" x14ac:dyDescent="0.35">
      <c r="D70" s="5" t="s">
        <v>4</v>
      </c>
      <c r="E70" s="21">
        <f>SUM(E65:E69)</f>
        <v>0</v>
      </c>
      <c r="F70" s="21">
        <f t="shared" ref="F70:K70" si="8">SUM(F65:F69)</f>
        <v>0</v>
      </c>
      <c r="G70" s="21">
        <f t="shared" si="8"/>
        <v>0</v>
      </c>
      <c r="H70" s="21">
        <f t="shared" si="8"/>
        <v>0</v>
      </c>
      <c r="I70" s="21">
        <f t="shared" si="8"/>
        <v>0</v>
      </c>
      <c r="J70" s="21">
        <f t="shared" si="8"/>
        <v>0</v>
      </c>
      <c r="K70" s="21">
        <f t="shared" si="8"/>
        <v>0</v>
      </c>
      <c r="L70" s="12">
        <f>SUM(E70:K70)</f>
        <v>0</v>
      </c>
    </row>
    <row r="72" spans="4:15" x14ac:dyDescent="0.35">
      <c r="D72" s="132" t="s">
        <v>419</v>
      </c>
      <c r="E72" s="132"/>
      <c r="F72" s="132"/>
      <c r="G72" s="132"/>
      <c r="H72" s="132"/>
      <c r="I72" s="132"/>
      <c r="J72" s="132"/>
      <c r="K72" s="132"/>
      <c r="L72" s="132"/>
    </row>
    <row r="73" spans="4:15" x14ac:dyDescent="0.35">
      <c r="D73" s="132"/>
      <c r="E73" s="132"/>
      <c r="F73" s="132"/>
      <c r="G73" s="132"/>
      <c r="H73" s="132"/>
      <c r="I73" s="132"/>
      <c r="J73" s="132"/>
      <c r="K73" s="132"/>
      <c r="L73" s="132"/>
    </row>
    <row r="74" spans="4:15" x14ac:dyDescent="0.35">
      <c r="D74" s="4" t="s">
        <v>110</v>
      </c>
      <c r="E74" s="126" t="s">
        <v>39</v>
      </c>
      <c r="F74" s="126"/>
      <c r="G74" s="126"/>
      <c r="H74" s="126"/>
      <c r="I74" s="126"/>
      <c r="J74" s="126"/>
      <c r="K74" s="126"/>
      <c r="L74" s="2"/>
      <c r="O74" s="61" t="s">
        <v>223</v>
      </c>
    </row>
    <row r="75" spans="4:15" x14ac:dyDescent="0.35">
      <c r="D75" s="4" t="s">
        <v>1</v>
      </c>
      <c r="E75" s="5">
        <v>2020</v>
      </c>
      <c r="F75" s="5">
        <v>2021</v>
      </c>
      <c r="G75" s="5">
        <v>2022</v>
      </c>
      <c r="H75" s="5">
        <v>2023</v>
      </c>
      <c r="I75" s="5">
        <v>2024</v>
      </c>
      <c r="J75" s="5">
        <v>2025</v>
      </c>
      <c r="K75" s="5">
        <v>2026</v>
      </c>
      <c r="L75" s="10" t="s">
        <v>4</v>
      </c>
    </row>
    <row r="76" spans="4:15" x14ac:dyDescent="0.35">
      <c r="D76" s="4">
        <f>D65</f>
        <v>2020</v>
      </c>
      <c r="E76" s="25">
        <f>IF(E$59=0,'B - Onerous at Dec 31, 2019'!C49,('B - Onerous at Dec 31, 2019'!C$54-'C - Rec. Tests at Dec 31, 2019'!E$59)/'B - Onerous at Dec 31, 2019'!C$54*'B - Onerous at Dec 31, 2019'!C49)</f>
        <v>2.0607649475996954</v>
      </c>
      <c r="F76" s="25">
        <f>IF(F$59=0,'B - Onerous at Dec 31, 2019'!D49,('B - Onerous at Dec 31, 2019'!D$54-'C - Rec. Tests at Dec 31, 2019'!F$59)/'B - Onerous at Dec 31, 2019'!D$54*'B - Onerous at Dec 31, 2019'!D49)</f>
        <v>1.3539257277582437</v>
      </c>
      <c r="G76" s="25">
        <f>IF(G$59=0,'B - Onerous at Dec 31, 2019'!E49,('B - Onerous at Dec 31, 2019'!E$54-'C - Rec. Tests at Dec 31, 2019'!G$59)/'B - Onerous at Dec 31, 2019'!E$54*'B - Onerous at Dec 31, 2019'!E49)</f>
        <v>0.76552487493317656</v>
      </c>
      <c r="H76" s="25">
        <f>IF(H$59=0,'B - Onerous at Dec 31, 2019'!F49,('B - Onerous at Dec 31, 2019'!F$54-'C - Rec. Tests at Dec 31, 2019'!H$59)/'B - Onerous at Dec 31, 2019'!F$54*'B - Onerous at Dec 31, 2019'!F49)</f>
        <v>1.6638643954321712</v>
      </c>
      <c r="I76" s="25">
        <f>IF(I$59=0,'B - Onerous at Dec 31, 2019'!G49,('B - Onerous at Dec 31, 2019'!G$54-'C - Rec. Tests at Dec 31, 2019'!I$59)/'B - Onerous at Dec 31, 2019'!G$54*'B - Onerous at Dec 31, 2019'!G49)</f>
        <v>1.4974779558889544</v>
      </c>
      <c r="J76" s="30"/>
      <c r="K76" s="30"/>
      <c r="O76" s="61" t="s">
        <v>224</v>
      </c>
    </row>
    <row r="77" spans="4:15" x14ac:dyDescent="0.35">
      <c r="D77" s="4">
        <f>D66</f>
        <v>2021</v>
      </c>
      <c r="E77" s="25"/>
      <c r="F77" s="25">
        <f>IF(F$59=0,'B - Onerous at Dec 31, 2019'!D50,('B - Onerous at Dec 31, 2019'!D$54-'C - Rec. Tests at Dec 31, 2019'!F$59)/'B - Onerous at Dec 31, 2019'!D$54*'B - Onerous at Dec 31, 2019'!D50)</f>
        <v>1.504361919731382</v>
      </c>
      <c r="G77" s="25">
        <f>IF(G$59=0,'B - Onerous at Dec 31, 2019'!E50,('B - Onerous at Dec 31, 2019'!E$54-'C - Rec. Tests at Dec 31, 2019'!G$59)/'B - Onerous at Dec 31, 2019'!E$54*'B - Onerous at Dec 31, 2019'!E50)</f>
        <v>0.85058319437019603</v>
      </c>
      <c r="H77" s="25">
        <f>IF(H$59=0,'B - Onerous at Dec 31, 2019'!F50,('B - Onerous at Dec 31, 2019'!F$54-'C - Rec. Tests at Dec 31, 2019'!H$59)/'B - Onerous at Dec 31, 2019'!F$54*'B - Onerous at Dec 31, 2019'!F50)</f>
        <v>1.8487382171468569</v>
      </c>
      <c r="I77" s="25">
        <f>IF(I$59=0,'B - Onerous at Dec 31, 2019'!G50,('B - Onerous at Dec 31, 2019'!G$54-'C - Rec. Tests at Dec 31, 2019'!I$59)/'B - Onerous at Dec 31, 2019'!G$54*'B - Onerous at Dec 31, 2019'!G50)</f>
        <v>1.6638643954321712</v>
      </c>
      <c r="J77" s="30"/>
      <c r="K77" s="30"/>
      <c r="O77" s="61" t="s">
        <v>320</v>
      </c>
    </row>
    <row r="78" spans="4:15" x14ac:dyDescent="0.35">
      <c r="D78" s="4">
        <f>D67</f>
        <v>2022</v>
      </c>
      <c r="E78" s="25"/>
      <c r="F78" s="25"/>
      <c r="G78" s="25">
        <f>IF(G$59=0,'B - Onerous at Dec 31, 2019'!E51,('B - Onerous at Dec 31, 2019'!E$54-'C - Rec. Tests at Dec 31, 2019'!G$59)/'B - Onerous at Dec 31, 2019'!E$54*'B - Onerous at Dec 31, 2019'!E51)</f>
        <v>0.94509243818910693</v>
      </c>
      <c r="H78" s="25">
        <f>IF(H$59=0,'B - Onerous at Dec 31, 2019'!F51,('B - Onerous at Dec 31, 2019'!F$54-'C - Rec. Tests at Dec 31, 2019'!H$59)/'B - Onerous at Dec 31, 2019'!F$54*'B - Onerous at Dec 31, 2019'!F51)</f>
        <v>2.0541535746076187</v>
      </c>
      <c r="I78" s="25">
        <f>IF(I$59=0,'B - Onerous at Dec 31, 2019'!G51,('B - Onerous at Dec 31, 2019'!G$54-'C - Rec. Tests at Dec 31, 2019'!I$59)/'B - Onerous at Dec 31, 2019'!G$54*'B - Onerous at Dec 31, 2019'!G51)</f>
        <v>1.8487382171468569</v>
      </c>
      <c r="J78" s="30"/>
      <c r="K78" s="30"/>
      <c r="O78" s="61" t="s">
        <v>321</v>
      </c>
    </row>
    <row r="79" spans="4:15" x14ac:dyDescent="0.35">
      <c r="D79" s="4">
        <f>D68</f>
        <v>2023</v>
      </c>
      <c r="E79" s="25"/>
      <c r="F79" s="25"/>
      <c r="G79" s="25"/>
      <c r="H79" s="25">
        <f>IF(H$59=0,'B - Onerous at Dec 31, 2019'!F52,('B - Onerous at Dec 31, 2019'!F$54-'C - Rec. Tests at Dec 31, 2019'!H$59)/'B - Onerous at Dec 31, 2019'!F$54*'B - Onerous at Dec 31, 2019'!F52)</f>
        <v>2.2823928606751323</v>
      </c>
      <c r="I79" s="25">
        <f>IF(I$59=0,'B - Onerous at Dec 31, 2019'!G52,('B - Onerous at Dec 31, 2019'!G$54-'C - Rec. Tests at Dec 31, 2019'!I$59)/'B - Onerous at Dec 31, 2019'!G$54*'B - Onerous at Dec 31, 2019'!G52)</f>
        <v>2.0541535746076187</v>
      </c>
      <c r="J79" s="30"/>
      <c r="K79" s="30"/>
    </row>
    <row r="80" spans="4:15" x14ac:dyDescent="0.35">
      <c r="D80" s="4">
        <f>D69</f>
        <v>2024</v>
      </c>
      <c r="E80" s="25"/>
      <c r="F80" s="25"/>
      <c r="G80" s="25"/>
      <c r="H80" s="25"/>
      <c r="I80" s="25">
        <f>IF(I$59=0,'B - Onerous at Dec 31, 2019'!G53,('B - Onerous at Dec 31, 2019'!G$54-'C - Rec. Tests at Dec 31, 2019'!I$59)/'B - Onerous at Dec 31, 2019'!G$54*'B - Onerous at Dec 31, 2019'!G53)</f>
        <v>2.2823928606751323</v>
      </c>
      <c r="J80" s="30"/>
      <c r="K80" s="30"/>
    </row>
    <row r="81" spans="2:15" x14ac:dyDescent="0.35">
      <c r="D81" s="5" t="s">
        <v>4</v>
      </c>
      <c r="E81" s="21">
        <f>SUM(E76:E80)</f>
        <v>2.0607649475996954</v>
      </c>
      <c r="F81" s="21">
        <f t="shared" ref="F81:K81" si="9">SUM(F76:F80)</f>
        <v>2.8582876474896257</v>
      </c>
      <c r="G81" s="21">
        <f t="shared" si="9"/>
        <v>2.5612005074924795</v>
      </c>
      <c r="H81" s="21">
        <f t="shared" si="9"/>
        <v>7.8491490478617791</v>
      </c>
      <c r="I81" s="21">
        <f t="shared" si="9"/>
        <v>9.3466270037507329</v>
      </c>
      <c r="J81" s="21">
        <f t="shared" si="9"/>
        <v>0</v>
      </c>
      <c r="K81" s="21">
        <f t="shared" si="9"/>
        <v>0</v>
      </c>
      <c r="L81" s="12">
        <f>SUM(E81:K81)</f>
        <v>24.67602915419431</v>
      </c>
    </row>
    <row r="83" spans="2:15" x14ac:dyDescent="0.35">
      <c r="D83" s="1" t="s">
        <v>420</v>
      </c>
    </row>
    <row r="84" spans="2:15" x14ac:dyDescent="0.35">
      <c r="D84" s="4" t="s">
        <v>110</v>
      </c>
      <c r="E84" s="126" t="s">
        <v>39</v>
      </c>
      <c r="F84" s="126"/>
      <c r="G84" s="126"/>
      <c r="H84" s="126"/>
      <c r="I84" s="126"/>
      <c r="J84" s="126"/>
      <c r="K84" s="126"/>
      <c r="L84" s="2"/>
    </row>
    <row r="85" spans="2:15" x14ac:dyDescent="0.35">
      <c r="D85" s="4" t="s">
        <v>1</v>
      </c>
      <c r="E85" s="5">
        <v>2020</v>
      </c>
      <c r="F85" s="5">
        <v>2021</v>
      </c>
      <c r="G85" s="5">
        <v>2022</v>
      </c>
      <c r="H85" s="5">
        <v>2023</v>
      </c>
      <c r="I85" s="5">
        <v>2024</v>
      </c>
      <c r="J85" s="5">
        <v>2025</v>
      </c>
      <c r="K85" s="5">
        <v>2026</v>
      </c>
      <c r="L85" s="10" t="s">
        <v>4</v>
      </c>
      <c r="O85" s="61" t="s">
        <v>221</v>
      </c>
    </row>
    <row r="86" spans="2:15" x14ac:dyDescent="0.35">
      <c r="D86" s="4">
        <f>D76</f>
        <v>2020</v>
      </c>
      <c r="E86" s="25">
        <f>E65+E76</f>
        <v>2.0607649475996954</v>
      </c>
      <c r="F86" s="25">
        <f>F65+F76</f>
        <v>1.3539257277582437</v>
      </c>
      <c r="G86" s="25">
        <f>G65+G76</f>
        <v>0.76552487493317656</v>
      </c>
      <c r="H86" s="25">
        <f>H65+H76</f>
        <v>1.6638643954321712</v>
      </c>
      <c r="I86" s="25">
        <f>I65+I76</f>
        <v>1.4974779558889544</v>
      </c>
      <c r="O86" s="61" t="s">
        <v>222</v>
      </c>
    </row>
    <row r="87" spans="2:15" x14ac:dyDescent="0.35">
      <c r="D87" s="4">
        <f t="shared" ref="D87:D90" si="10">D77</f>
        <v>2021</v>
      </c>
      <c r="E87" s="25"/>
      <c r="F87" s="25">
        <f>F66+F77</f>
        <v>1.504361919731382</v>
      </c>
      <c r="G87" s="25">
        <f>G66+G77</f>
        <v>0.85058319437019603</v>
      </c>
      <c r="H87" s="25">
        <f>H66+H77</f>
        <v>1.8487382171468569</v>
      </c>
      <c r="I87" s="25">
        <f>I66+I77</f>
        <v>1.6638643954321712</v>
      </c>
    </row>
    <row r="88" spans="2:15" x14ac:dyDescent="0.35">
      <c r="D88" s="4">
        <f t="shared" si="10"/>
        <v>2022</v>
      </c>
      <c r="E88" s="25"/>
      <c r="F88" s="25"/>
      <c r="G88" s="25">
        <f>G67+G78</f>
        <v>0.94509243818910693</v>
      </c>
      <c r="H88" s="25">
        <f>H67+H78</f>
        <v>2.0541535746076187</v>
      </c>
      <c r="I88" s="25">
        <f>I67+I78</f>
        <v>1.8487382171468569</v>
      </c>
    </row>
    <row r="89" spans="2:15" x14ac:dyDescent="0.35">
      <c r="D89" s="4">
        <f t="shared" si="10"/>
        <v>2023</v>
      </c>
      <c r="E89" s="25"/>
      <c r="F89" s="25"/>
      <c r="G89" s="25"/>
      <c r="H89" s="25">
        <f>H68+H79</f>
        <v>2.2823928606751323</v>
      </c>
      <c r="I89" s="25">
        <f>I68+I79</f>
        <v>2.0541535746076187</v>
      </c>
    </row>
    <row r="90" spans="2:15" x14ac:dyDescent="0.35">
      <c r="D90" s="4">
        <f t="shared" si="10"/>
        <v>2024</v>
      </c>
      <c r="E90" s="25"/>
      <c r="F90" s="25"/>
      <c r="G90" s="25"/>
      <c r="H90" s="25"/>
      <c r="I90" s="25">
        <f>I69+I80</f>
        <v>2.2823928606751323</v>
      </c>
    </row>
    <row r="91" spans="2:15" x14ac:dyDescent="0.35">
      <c r="D91" s="5" t="s">
        <v>4</v>
      </c>
      <c r="E91" s="21">
        <f>SUM(E86:E90)</f>
        <v>2.0607649475996954</v>
      </c>
      <c r="F91" s="21">
        <f t="shared" ref="F91:K91" si="11">SUM(F86:F90)</f>
        <v>2.8582876474896257</v>
      </c>
      <c r="G91" s="21">
        <f t="shared" si="11"/>
        <v>2.5612005074924795</v>
      </c>
      <c r="H91" s="21">
        <f t="shared" si="11"/>
        <v>7.8491490478617791</v>
      </c>
      <c r="I91" s="21">
        <f t="shared" si="11"/>
        <v>9.3466270037507329</v>
      </c>
      <c r="J91" s="21">
        <f t="shared" si="11"/>
        <v>0</v>
      </c>
      <c r="K91" s="21">
        <f t="shared" si="11"/>
        <v>0</v>
      </c>
      <c r="L91" s="12">
        <f>SUM(E91:K91)</f>
        <v>24.67602915419431</v>
      </c>
    </row>
    <row r="92" spans="2:15" s="28" customFormat="1" x14ac:dyDescent="0.35">
      <c r="O92" s="63"/>
    </row>
    <row r="93" spans="2:15" x14ac:dyDescent="0.35">
      <c r="B93" s="1" t="s">
        <v>57</v>
      </c>
    </row>
    <row r="95" spans="2:15" x14ac:dyDescent="0.35">
      <c r="B95" s="34" t="s">
        <v>58</v>
      </c>
    </row>
    <row r="96" spans="2:15" x14ac:dyDescent="0.35">
      <c r="B96" s="34"/>
    </row>
    <row r="97" spans="2:15" x14ac:dyDescent="0.35">
      <c r="B97" t="s">
        <v>77</v>
      </c>
    </row>
    <row r="98" spans="2:15" x14ac:dyDescent="0.35">
      <c r="B98" t="s">
        <v>421</v>
      </c>
    </row>
    <row r="99" spans="2:15" x14ac:dyDescent="0.35">
      <c r="B99" t="s">
        <v>59</v>
      </c>
      <c r="E99" s="16">
        <f>'A - Base data at Dec 31, 2019'!D23</f>
        <v>0.75</v>
      </c>
      <c r="F99" t="s">
        <v>60</v>
      </c>
    </row>
    <row r="100" spans="2:15" x14ac:dyDescent="0.35">
      <c r="B100" t="s">
        <v>350</v>
      </c>
    </row>
    <row r="102" spans="2:15" x14ac:dyDescent="0.35">
      <c r="B102" s="1" t="s">
        <v>422</v>
      </c>
    </row>
    <row r="103" spans="2:15" x14ac:dyDescent="0.35">
      <c r="B103" s="1"/>
    </row>
    <row r="104" spans="2:15" x14ac:dyDescent="0.35">
      <c r="B104" s="1" t="s">
        <v>119</v>
      </c>
    </row>
    <row r="105" spans="2:15" x14ac:dyDescent="0.35">
      <c r="B105" s="96" t="str">
        <f>"Original issue year "&amp;D86</f>
        <v>Original issue year 2020</v>
      </c>
      <c r="C105" s="79"/>
      <c r="D105" s="79"/>
      <c r="E105" s="137" t="s">
        <v>0</v>
      </c>
      <c r="F105" s="137"/>
      <c r="G105" s="137"/>
      <c r="H105" s="138"/>
    </row>
    <row r="106" spans="2:15" x14ac:dyDescent="0.35">
      <c r="B106" s="80"/>
      <c r="C106" s="46"/>
      <c r="D106" s="46"/>
      <c r="E106" s="81">
        <v>2020</v>
      </c>
      <c r="F106" s="81">
        <v>2021</v>
      </c>
      <c r="G106" s="81">
        <v>2022</v>
      </c>
      <c r="H106" s="82" t="s">
        <v>4</v>
      </c>
      <c r="O106" s="61" t="s">
        <v>119</v>
      </c>
    </row>
    <row r="107" spans="2:15" x14ac:dyDescent="0.35">
      <c r="B107" s="83" t="s">
        <v>409</v>
      </c>
      <c r="C107" s="84"/>
      <c r="D107" s="84"/>
      <c r="E107" s="85"/>
      <c r="F107" s="85">
        <f>IF(H112=0,0,'A - Base data at Dec 31, 2019'!O174)</f>
        <v>0</v>
      </c>
      <c r="G107" s="85">
        <f>IF(G112=0,0,'A - Base data at Dec 31, 2019'!P174)</f>
        <v>0</v>
      </c>
      <c r="H107" s="86">
        <f>SUM(F107:G107)</f>
        <v>0</v>
      </c>
      <c r="O107" s="61" t="s">
        <v>423</v>
      </c>
    </row>
    <row r="108" spans="2:15" x14ac:dyDescent="0.35">
      <c r="B108" s="83" t="s">
        <v>81</v>
      </c>
      <c r="C108" s="84"/>
      <c r="D108" s="84"/>
      <c r="E108" s="85"/>
      <c r="F108" s="85">
        <f>IF(H112=0,0,(1-$E$99)*F65+F76)</f>
        <v>0</v>
      </c>
      <c r="G108" s="85">
        <f>IF(G112=0,0,(1-$E$99)*G65+G76)</f>
        <v>0</v>
      </c>
      <c r="H108" s="86">
        <f t="shared" ref="H108:H112" si="12">SUM(F108:G108)</f>
        <v>0</v>
      </c>
      <c r="O108" s="61" t="s">
        <v>424</v>
      </c>
    </row>
    <row r="109" spans="2:15" ht="14.4" customHeight="1" x14ac:dyDescent="0.35">
      <c r="B109" s="87" t="s">
        <v>49</v>
      </c>
      <c r="C109" s="27"/>
      <c r="D109" s="27"/>
      <c r="E109" s="31"/>
      <c r="F109" s="31">
        <f>IF(H112=0,0,IF('A - Base data at Dec 31, 2019'!$F$11=0,0,'A - Base data at Dec 31, 2019'!O123))</f>
        <v>0</v>
      </c>
      <c r="G109" s="31">
        <f>IF(G112=0,0,IF('A - Base data at Dec 31, 2019'!$F$11=0,0,'A - Base data at Dec 31, 2019'!P123))</f>
        <v>0</v>
      </c>
      <c r="H109" s="88">
        <f t="shared" si="12"/>
        <v>0</v>
      </c>
      <c r="O109" s="61" t="s">
        <v>425</v>
      </c>
    </row>
    <row r="110" spans="2:15" x14ac:dyDescent="0.35">
      <c r="B110" s="83" t="s">
        <v>61</v>
      </c>
      <c r="C110" s="84"/>
      <c r="D110" s="84"/>
      <c r="E110" s="85"/>
      <c r="F110" s="85">
        <f>F107-F109-F108</f>
        <v>0</v>
      </c>
      <c r="G110" s="85">
        <f>G107-G109-G108</f>
        <v>0</v>
      </c>
      <c r="H110" s="86">
        <f t="shared" si="12"/>
        <v>0</v>
      </c>
      <c r="O110" s="61" t="s">
        <v>236</v>
      </c>
    </row>
    <row r="111" spans="2:15" x14ac:dyDescent="0.35">
      <c r="B111" s="83"/>
      <c r="C111" s="84"/>
      <c r="D111" s="84"/>
      <c r="E111" s="89"/>
      <c r="F111" s="89"/>
      <c r="G111" s="89"/>
      <c r="H111" s="90"/>
    </row>
    <row r="112" spans="2:15" x14ac:dyDescent="0.35">
      <c r="B112" s="83" t="s">
        <v>78</v>
      </c>
      <c r="C112" s="84"/>
      <c r="D112" s="84"/>
      <c r="E112" s="33"/>
      <c r="F112" s="33">
        <f>F65*$E$99</f>
        <v>0</v>
      </c>
      <c r="G112" s="33">
        <f>G65*$E$99</f>
        <v>0</v>
      </c>
      <c r="H112" s="91">
        <f t="shared" si="12"/>
        <v>0</v>
      </c>
      <c r="O112" s="61" t="s">
        <v>426</v>
      </c>
    </row>
    <row r="113" spans="2:15" x14ac:dyDescent="0.35">
      <c r="B113" s="92" t="s">
        <v>51</v>
      </c>
      <c r="C113" s="26"/>
      <c r="D113" s="26"/>
      <c r="E113" s="105"/>
      <c r="F113" s="103">
        <f>F110-F112</f>
        <v>0</v>
      </c>
      <c r="G113" s="103">
        <f t="shared" ref="G113:H113" si="13">G110-G112</f>
        <v>0</v>
      </c>
      <c r="H113" s="104">
        <f t="shared" si="13"/>
        <v>0</v>
      </c>
      <c r="I113" s="17" t="str">
        <f>IF(H112=0,"",IF(H113&gt;=0,"Pass","Fail"))</f>
        <v/>
      </c>
      <c r="O113" s="61" t="s">
        <v>235</v>
      </c>
    </row>
    <row r="114" spans="2:15" x14ac:dyDescent="0.35">
      <c r="B114" s="97"/>
      <c r="C114" s="36"/>
      <c r="D114" s="36"/>
      <c r="E114" s="36"/>
      <c r="F114" s="36"/>
      <c r="G114" s="36"/>
      <c r="H114" s="98"/>
    </row>
    <row r="115" spans="2:15" x14ac:dyDescent="0.35">
      <c r="B115" s="95" t="s">
        <v>208</v>
      </c>
      <c r="C115" s="32"/>
      <c r="D115" s="32"/>
      <c r="E115" s="32"/>
      <c r="F115" s="33">
        <f>IF(OR($I$113="Pass",$I$113=""),0,F112*$H$115/$H$112)</f>
        <v>0</v>
      </c>
      <c r="G115" s="33">
        <f>IF(OR($I$113="Pass",$I$113=""),0,G112*$H$115/$H$112)</f>
        <v>0</v>
      </c>
      <c r="H115" s="91">
        <f>IF(OR($I$113="Pass",$I$113=""),0,-MAX($H$113,-$H$112))</f>
        <v>0</v>
      </c>
      <c r="O115" s="61" t="s">
        <v>232</v>
      </c>
    </row>
    <row r="116" spans="2:15" s="28" customFormat="1" x14ac:dyDescent="0.35">
      <c r="O116" s="63" t="s">
        <v>427</v>
      </c>
    </row>
    <row r="117" spans="2:15" x14ac:dyDescent="0.35">
      <c r="B117" s="34" t="s">
        <v>52</v>
      </c>
    </row>
    <row r="119" spans="2:15" x14ac:dyDescent="0.35">
      <c r="D119" s="1" t="s">
        <v>428</v>
      </c>
    </row>
    <row r="120" spans="2:15" x14ac:dyDescent="0.35">
      <c r="D120" s="1" t="s">
        <v>429</v>
      </c>
    </row>
    <row r="121" spans="2:15" x14ac:dyDescent="0.35">
      <c r="D121" s="4" t="s">
        <v>110</v>
      </c>
      <c r="E121" s="126" t="s">
        <v>39</v>
      </c>
      <c r="F121" s="126"/>
      <c r="G121" s="126"/>
      <c r="H121" s="126"/>
      <c r="I121" s="126"/>
      <c r="J121" s="126"/>
      <c r="K121" s="126"/>
      <c r="L121" s="2"/>
    </row>
    <row r="122" spans="2:15" x14ac:dyDescent="0.35">
      <c r="D122" s="4" t="s">
        <v>1</v>
      </c>
      <c r="E122" s="5">
        <v>2020</v>
      </c>
      <c r="F122" s="5">
        <v>2021</v>
      </c>
      <c r="G122" s="5">
        <v>2022</v>
      </c>
      <c r="H122" s="5">
        <v>2023</v>
      </c>
      <c r="I122" s="5">
        <v>2024</v>
      </c>
      <c r="J122" s="5">
        <v>2025</v>
      </c>
      <c r="K122" s="5">
        <v>2026</v>
      </c>
      <c r="L122" s="10" t="s">
        <v>4</v>
      </c>
      <c r="O122" s="61" t="s">
        <v>230</v>
      </c>
    </row>
    <row r="123" spans="2:15" x14ac:dyDescent="0.35">
      <c r="D123" s="4">
        <f>D86</f>
        <v>2020</v>
      </c>
      <c r="E123" s="25">
        <f>E65-E115</f>
        <v>0</v>
      </c>
      <c r="F123" s="25">
        <f>F65-F115</f>
        <v>0</v>
      </c>
      <c r="G123" s="25">
        <f>G65-G115</f>
        <v>0</v>
      </c>
      <c r="O123" s="61" t="s">
        <v>231</v>
      </c>
    </row>
    <row r="124" spans="2:15" x14ac:dyDescent="0.35">
      <c r="D124" s="4">
        <f>D87</f>
        <v>2021</v>
      </c>
      <c r="O124" s="61" t="s">
        <v>430</v>
      </c>
    </row>
    <row r="125" spans="2:15" x14ac:dyDescent="0.35">
      <c r="D125" s="4">
        <f>D88</f>
        <v>2022</v>
      </c>
    </row>
    <row r="126" spans="2:15" x14ac:dyDescent="0.35">
      <c r="D126" s="4">
        <f>D89</f>
        <v>2023</v>
      </c>
    </row>
    <row r="127" spans="2:15" x14ac:dyDescent="0.35">
      <c r="D127" s="4">
        <f>D90</f>
        <v>2024</v>
      </c>
    </row>
    <row r="128" spans="2:15" x14ac:dyDescent="0.35">
      <c r="D128" s="5" t="s">
        <v>4</v>
      </c>
      <c r="E128" s="21">
        <f>SUM(E123:E127)</f>
        <v>0</v>
      </c>
      <c r="F128" s="21">
        <f>SUM(F123:F127)</f>
        <v>0</v>
      </c>
      <c r="G128" s="21">
        <f>SUM(G123:G127)</f>
        <v>0</v>
      </c>
      <c r="H128" s="21">
        <f t="shared" ref="H128" si="14">SUM(H123:H127)</f>
        <v>0</v>
      </c>
      <c r="I128" s="21">
        <f t="shared" ref="I128" si="15">SUM(I123:I127)</f>
        <v>0</v>
      </c>
      <c r="J128" s="21">
        <f t="shared" ref="J128" si="16">SUM(J123:J127)</f>
        <v>0</v>
      </c>
      <c r="K128" s="21">
        <f t="shared" ref="K128" si="17">SUM(K123:K127)</f>
        <v>0</v>
      </c>
      <c r="L128" s="12">
        <f>SUM(E128:K128)</f>
        <v>0</v>
      </c>
    </row>
    <row r="130" spans="4:15" x14ac:dyDescent="0.35">
      <c r="D130" s="1" t="s">
        <v>431</v>
      </c>
    </row>
    <row r="131" spans="4:15" x14ac:dyDescent="0.35">
      <c r="D131" s="1" t="s">
        <v>432</v>
      </c>
      <c r="O131" s="61" t="s">
        <v>225</v>
      </c>
    </row>
    <row r="132" spans="4:15" x14ac:dyDescent="0.35">
      <c r="D132" s="4" t="s">
        <v>110</v>
      </c>
      <c r="E132" s="126" t="s">
        <v>39</v>
      </c>
      <c r="F132" s="126"/>
      <c r="G132" s="126"/>
      <c r="H132" s="126"/>
      <c r="I132" s="126"/>
      <c r="J132" s="126"/>
      <c r="K132" s="126"/>
      <c r="L132" s="2"/>
      <c r="O132" s="61" t="s">
        <v>226</v>
      </c>
    </row>
    <row r="133" spans="4:15" x14ac:dyDescent="0.35">
      <c r="D133" s="4" t="s">
        <v>1</v>
      </c>
      <c r="E133" s="5">
        <v>2020</v>
      </c>
      <c r="F133" s="5">
        <v>2021</v>
      </c>
      <c r="G133" s="5">
        <v>2022</v>
      </c>
      <c r="H133" s="5">
        <v>2023</v>
      </c>
      <c r="I133" s="5">
        <v>2024</v>
      </c>
      <c r="J133" s="5">
        <v>2025</v>
      </c>
      <c r="K133" s="5">
        <v>2026</v>
      </c>
      <c r="L133" s="10" t="s">
        <v>4</v>
      </c>
      <c r="O133" s="61" t="s">
        <v>227</v>
      </c>
    </row>
    <row r="134" spans="4:15" x14ac:dyDescent="0.35">
      <c r="D134" s="4">
        <f>D123</f>
        <v>2020</v>
      </c>
      <c r="E134" s="25">
        <f>E76</f>
        <v>2.0607649475996954</v>
      </c>
      <c r="F134" s="25">
        <f t="shared" ref="F134:H134" si="18">F76</f>
        <v>1.3539257277582437</v>
      </c>
      <c r="G134" s="25">
        <f t="shared" si="18"/>
        <v>0.76552487493317656</v>
      </c>
      <c r="H134" s="25">
        <f t="shared" si="18"/>
        <v>1.6638643954321712</v>
      </c>
      <c r="I134" s="25">
        <f>I76</f>
        <v>1.4974779558889544</v>
      </c>
      <c r="J134" s="30"/>
      <c r="K134" s="30"/>
    </row>
    <row r="135" spans="4:15" x14ac:dyDescent="0.35">
      <c r="D135" s="4">
        <f>D124</f>
        <v>2021</v>
      </c>
      <c r="E135" s="25"/>
      <c r="F135" s="25">
        <f>F77</f>
        <v>1.504361919731382</v>
      </c>
      <c r="G135" s="25">
        <f>G77</f>
        <v>0.85058319437019603</v>
      </c>
      <c r="H135" s="25">
        <f>H77</f>
        <v>1.8487382171468569</v>
      </c>
      <c r="I135" s="25">
        <f>I77</f>
        <v>1.6638643954321712</v>
      </c>
      <c r="J135" s="30"/>
      <c r="K135" s="30"/>
    </row>
    <row r="136" spans="4:15" x14ac:dyDescent="0.35">
      <c r="D136" s="4">
        <f>D125</f>
        <v>2022</v>
      </c>
      <c r="E136" s="25"/>
      <c r="F136" s="25"/>
      <c r="G136" s="25">
        <f>G78</f>
        <v>0.94509243818910693</v>
      </c>
      <c r="H136" s="25">
        <f>H78</f>
        <v>2.0541535746076187</v>
      </c>
      <c r="I136" s="25">
        <f>I78</f>
        <v>1.8487382171468569</v>
      </c>
      <c r="J136" s="30"/>
      <c r="K136" s="30"/>
    </row>
    <row r="137" spans="4:15" x14ac:dyDescent="0.35">
      <c r="D137" s="4">
        <f>D126</f>
        <v>2023</v>
      </c>
      <c r="E137" s="25"/>
      <c r="F137" s="25"/>
      <c r="G137" s="25"/>
      <c r="H137" s="25">
        <f>H79</f>
        <v>2.2823928606751323</v>
      </c>
      <c r="I137" s="25">
        <f>I79</f>
        <v>2.0541535746076187</v>
      </c>
      <c r="J137" s="30"/>
      <c r="K137" s="30"/>
    </row>
    <row r="138" spans="4:15" x14ac:dyDescent="0.35">
      <c r="D138" s="4">
        <f>D127</f>
        <v>2024</v>
      </c>
      <c r="E138" s="25"/>
      <c r="F138" s="25"/>
      <c r="G138" s="25"/>
      <c r="H138" s="25"/>
      <c r="I138" s="25">
        <f>I80</f>
        <v>2.2823928606751323</v>
      </c>
      <c r="J138" s="30"/>
      <c r="K138" s="30"/>
    </row>
    <row r="139" spans="4:15" x14ac:dyDescent="0.35">
      <c r="D139" s="5" t="s">
        <v>4</v>
      </c>
      <c r="E139" s="21">
        <f>SUM(E134:E138)</f>
        <v>2.0607649475996954</v>
      </c>
      <c r="F139" s="21">
        <f t="shared" ref="F139" si="19">SUM(F134:F138)</f>
        <v>2.8582876474896257</v>
      </c>
      <c r="G139" s="21">
        <f t="shared" ref="G139" si="20">SUM(G134:G138)</f>
        <v>2.5612005074924795</v>
      </c>
      <c r="H139" s="21">
        <f t="shared" ref="H139" si="21">SUM(H134:H138)</f>
        <v>7.8491490478617791</v>
      </c>
      <c r="I139" s="21">
        <f t="shared" ref="I139" si="22">SUM(I134:I138)</f>
        <v>9.3466270037507329</v>
      </c>
      <c r="J139" s="21">
        <f t="shared" ref="J139" si="23">SUM(J134:J138)</f>
        <v>0</v>
      </c>
      <c r="K139" s="21">
        <f t="shared" ref="K139" si="24">SUM(K134:K138)</f>
        <v>0</v>
      </c>
      <c r="L139" s="12">
        <f>SUM(E139:K139)</f>
        <v>24.67602915419431</v>
      </c>
    </row>
    <row r="141" spans="4:15" x14ac:dyDescent="0.35">
      <c r="D141" s="1" t="s">
        <v>433</v>
      </c>
    </row>
    <row r="142" spans="4:15" x14ac:dyDescent="0.35">
      <c r="D142" s="4" t="s">
        <v>110</v>
      </c>
      <c r="E142" s="126" t="s">
        <v>39</v>
      </c>
      <c r="F142" s="126"/>
      <c r="G142" s="126"/>
      <c r="H142" s="126"/>
      <c r="I142" s="126"/>
      <c r="J142" s="126"/>
      <c r="K142" s="126"/>
      <c r="L142" s="2"/>
    </row>
    <row r="143" spans="4:15" x14ac:dyDescent="0.35">
      <c r="D143" s="4" t="s">
        <v>1</v>
      </c>
      <c r="E143" s="5">
        <v>2020</v>
      </c>
      <c r="F143" s="5">
        <v>2021</v>
      </c>
      <c r="G143" s="5">
        <v>2022</v>
      </c>
      <c r="H143" s="5">
        <v>2023</v>
      </c>
      <c r="I143" s="5">
        <v>2024</v>
      </c>
      <c r="J143" s="5">
        <v>2025</v>
      </c>
      <c r="K143" s="5">
        <v>2026</v>
      </c>
      <c r="L143" s="10" t="s">
        <v>4</v>
      </c>
      <c r="O143" s="61" t="s">
        <v>228</v>
      </c>
    </row>
    <row r="144" spans="4:15" x14ac:dyDescent="0.35">
      <c r="D144" s="4">
        <f>D134</f>
        <v>2020</v>
      </c>
      <c r="E144" s="25">
        <f>E123+E134</f>
        <v>2.0607649475996954</v>
      </c>
      <c r="F144" s="25">
        <f t="shared" ref="F144:I144" si="25">F123+F134</f>
        <v>1.3539257277582437</v>
      </c>
      <c r="G144" s="25">
        <f t="shared" si="25"/>
        <v>0.76552487493317656</v>
      </c>
      <c r="H144" s="25">
        <f t="shared" si="25"/>
        <v>1.6638643954321712</v>
      </c>
      <c r="I144" s="25">
        <f t="shared" si="25"/>
        <v>1.4974779558889544</v>
      </c>
      <c r="O144" s="61" t="s">
        <v>229</v>
      </c>
    </row>
    <row r="145" spans="4:12" x14ac:dyDescent="0.35">
      <c r="D145" s="4">
        <f t="shared" ref="D145:D148" si="26">D135</f>
        <v>2021</v>
      </c>
      <c r="E145" s="25"/>
      <c r="F145" s="25">
        <f t="shared" ref="F145:I145" si="27">F124+F135</f>
        <v>1.504361919731382</v>
      </c>
      <c r="G145" s="25">
        <f t="shared" si="27"/>
        <v>0.85058319437019603</v>
      </c>
      <c r="H145" s="25">
        <f t="shared" si="27"/>
        <v>1.8487382171468569</v>
      </c>
      <c r="I145" s="25">
        <f t="shared" si="27"/>
        <v>1.6638643954321712</v>
      </c>
    </row>
    <row r="146" spans="4:12" x14ac:dyDescent="0.35">
      <c r="D146" s="4">
        <f t="shared" si="26"/>
        <v>2022</v>
      </c>
      <c r="E146" s="25"/>
      <c r="F146" s="25"/>
      <c r="G146" s="25">
        <f t="shared" ref="G146:I146" si="28">G125+G136</f>
        <v>0.94509243818910693</v>
      </c>
      <c r="H146" s="25">
        <f t="shared" si="28"/>
        <v>2.0541535746076187</v>
      </c>
      <c r="I146" s="25">
        <f t="shared" si="28"/>
        <v>1.8487382171468569</v>
      </c>
    </row>
    <row r="147" spans="4:12" x14ac:dyDescent="0.35">
      <c r="D147" s="4">
        <f t="shared" si="26"/>
        <v>2023</v>
      </c>
      <c r="E147" s="25"/>
      <c r="F147" s="25"/>
      <c r="G147" s="25"/>
      <c r="H147" s="25">
        <f t="shared" ref="H147:I147" si="29">H126+H137</f>
        <v>2.2823928606751323</v>
      </c>
      <c r="I147" s="25">
        <f t="shared" si="29"/>
        <v>2.0541535746076187</v>
      </c>
    </row>
    <row r="148" spans="4:12" x14ac:dyDescent="0.35">
      <c r="D148" s="4">
        <f t="shared" si="26"/>
        <v>2024</v>
      </c>
      <c r="E148" s="25"/>
      <c r="F148" s="25"/>
      <c r="G148" s="25"/>
      <c r="H148" s="25"/>
      <c r="I148" s="25">
        <f t="shared" ref="I148" si="30">I127+I138</f>
        <v>2.2823928606751323</v>
      </c>
    </row>
    <row r="149" spans="4:12" x14ac:dyDescent="0.35">
      <c r="D149" s="5" t="s">
        <v>4</v>
      </c>
      <c r="E149" s="21">
        <f>SUM(E144:E148)</f>
        <v>2.0607649475996954</v>
      </c>
      <c r="F149" s="21">
        <f t="shared" ref="F149" si="31">SUM(F144:F148)</f>
        <v>2.8582876474896257</v>
      </c>
      <c r="G149" s="21">
        <f t="shared" ref="G149" si="32">SUM(G144:G148)</f>
        <v>2.5612005074924795</v>
      </c>
      <c r="H149" s="21">
        <f t="shared" ref="H149" si="33">SUM(H144:H148)</f>
        <v>7.8491490478617791</v>
      </c>
      <c r="I149" s="21">
        <f t="shared" ref="I149" si="34">SUM(I144:I148)</f>
        <v>9.3466270037507329</v>
      </c>
      <c r="J149" s="21">
        <f t="shared" ref="J149" si="35">SUM(J144:J148)</f>
        <v>0</v>
      </c>
      <c r="K149" s="21">
        <f t="shared" ref="K149" si="36">SUM(K144:K148)</f>
        <v>0</v>
      </c>
      <c r="L149" s="12">
        <f>SUM(E149:K149)</f>
        <v>24.67602915419431</v>
      </c>
    </row>
  </sheetData>
  <mergeCells count="18">
    <mergeCell ref="E132:K132"/>
    <mergeCell ref="E142:K142"/>
    <mergeCell ref="E51:K51"/>
    <mergeCell ref="E57:K57"/>
    <mergeCell ref="E105:H105"/>
    <mergeCell ref="E121:K121"/>
    <mergeCell ref="E63:K63"/>
    <mergeCell ref="E74:K74"/>
    <mergeCell ref="E84:K84"/>
    <mergeCell ref="D49:L50"/>
    <mergeCell ref="D55:L56"/>
    <mergeCell ref="D61:L62"/>
    <mergeCell ref="D72:L73"/>
    <mergeCell ref="E13:K13"/>
    <mergeCell ref="E28:K28"/>
    <mergeCell ref="E39:K39"/>
    <mergeCell ref="E27:L27"/>
    <mergeCell ref="E38:L38"/>
  </mergeCells>
  <conditionalFormatting sqref="C5">
    <cfRule type="notContainsText" dxfId="14" priority="2" operator="notContains" text="no">
      <formula>ISERROR(SEARCH("no",C5))</formula>
    </cfRule>
    <cfRule type="containsText" dxfId="13" priority="4" operator="containsText" text="no">
      <formula>NOT(ISERROR(SEARCH("no",C5)))</formula>
    </cfRule>
  </conditionalFormatting>
  <conditionalFormatting sqref="E5">
    <cfRule type="notContainsText" dxfId="12" priority="1" operator="notContains" text="not">
      <formula>ISERROR(SEARCH("not",E5))</formula>
    </cfRule>
    <cfRule type="containsText" dxfId="11" priority="3" operator="containsText" text="not">
      <formula>NOT(ISERROR(SEARCH("not",E5)))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W264"/>
  <sheetViews>
    <sheetView topLeftCell="A235" zoomScaleNormal="100" workbookViewId="0">
      <selection activeCell="C256" sqref="C256:K256"/>
    </sheetView>
  </sheetViews>
  <sheetFormatPr defaultColWidth="8.90625" defaultRowHeight="14.5" x14ac:dyDescent="0.35"/>
  <cols>
    <col min="1" max="1" width="2.453125" customWidth="1"/>
    <col min="2" max="2" width="22.6328125" customWidth="1"/>
    <col min="11" max="12" width="8.90625" customWidth="1"/>
    <col min="23" max="23" width="44.36328125" style="61" customWidth="1"/>
  </cols>
  <sheetData>
    <row r="1" spans="2:23" x14ac:dyDescent="0.35">
      <c r="B1" s="22" t="s">
        <v>152</v>
      </c>
      <c r="W1" s="22" t="s">
        <v>153</v>
      </c>
    </row>
    <row r="3" spans="2:23" x14ac:dyDescent="0.35">
      <c r="B3" s="1" t="s">
        <v>13</v>
      </c>
    </row>
    <row r="4" spans="2:23" x14ac:dyDescent="0.35">
      <c r="B4" s="1"/>
    </row>
    <row r="5" spans="2:23" x14ac:dyDescent="0.35">
      <c r="B5" s="1"/>
      <c r="C5" t="s">
        <v>137</v>
      </c>
    </row>
    <row r="6" spans="2:23" x14ac:dyDescent="0.35">
      <c r="B6" s="1"/>
      <c r="C6" t="s">
        <v>342</v>
      </c>
    </row>
    <row r="7" spans="2:23" x14ac:dyDescent="0.35">
      <c r="B7" s="1"/>
    </row>
    <row r="8" spans="2:23" x14ac:dyDescent="0.35">
      <c r="C8" s="15" t="s">
        <v>8</v>
      </c>
      <c r="F8" s="37">
        <f>'A - Base data at Dec 31, 2019'!F8</f>
        <v>50</v>
      </c>
      <c r="G8" t="s">
        <v>136</v>
      </c>
    </row>
    <row r="9" spans="2:23" x14ac:dyDescent="0.35">
      <c r="D9" t="s">
        <v>6</v>
      </c>
      <c r="K9" s="39">
        <f>'A - Base data at Dec 31, 2019'!K9-F10/100</f>
        <v>0.85</v>
      </c>
      <c r="L9" s="41" t="s">
        <v>63</v>
      </c>
    </row>
    <row r="10" spans="2:23" x14ac:dyDescent="0.35">
      <c r="E10" s="41" t="s">
        <v>74</v>
      </c>
      <c r="F10" s="60">
        <f>'0 - Inputs and Results'!D29</f>
        <v>5</v>
      </c>
      <c r="G10" s="41" t="s">
        <v>75</v>
      </c>
      <c r="K10" s="41"/>
    </row>
    <row r="11" spans="2:23" x14ac:dyDescent="0.35">
      <c r="E11" s="41" t="s">
        <v>71</v>
      </c>
      <c r="K11" s="41"/>
    </row>
    <row r="12" spans="2:23" x14ac:dyDescent="0.35">
      <c r="D12" t="s">
        <v>9</v>
      </c>
    </row>
    <row r="13" spans="2:23" x14ac:dyDescent="0.35">
      <c r="D13" t="s">
        <v>10</v>
      </c>
      <c r="F13" s="38">
        <f>'A - Base data at Dec 31, 2019'!F11</f>
        <v>0</v>
      </c>
      <c r="G13" t="s">
        <v>11</v>
      </c>
    </row>
    <row r="14" spans="2:23" x14ac:dyDescent="0.35">
      <c r="D14" t="s">
        <v>17</v>
      </c>
    </row>
    <row r="16" spans="2:23" x14ac:dyDescent="0.35">
      <c r="C16" t="s">
        <v>7</v>
      </c>
      <c r="H16" s="39">
        <f>F17/100+'A - Base data at Dec 31, 2019'!H14</f>
        <v>0.85000000000000009</v>
      </c>
      <c r="I16" t="s">
        <v>64</v>
      </c>
    </row>
    <row r="17" spans="3:8" x14ac:dyDescent="0.35">
      <c r="E17" s="41" t="s">
        <v>74</v>
      </c>
      <c r="F17" s="60">
        <f>'0 - Inputs and Results'!D30</f>
        <v>5</v>
      </c>
      <c r="G17" s="41" t="s">
        <v>75</v>
      </c>
    </row>
    <row r="18" spans="3:8" x14ac:dyDescent="0.35">
      <c r="E18" s="41" t="s">
        <v>72</v>
      </c>
    </row>
    <row r="19" spans="3:8" x14ac:dyDescent="0.35">
      <c r="D19" s="38" t="s">
        <v>355</v>
      </c>
    </row>
    <row r="20" spans="3:8" x14ac:dyDescent="0.35">
      <c r="D20" t="s">
        <v>19</v>
      </c>
    </row>
    <row r="22" spans="3:8" x14ac:dyDescent="0.35">
      <c r="C22" t="s">
        <v>87</v>
      </c>
      <c r="H22" s="37">
        <f>'A - Base data at Dec 31, 2019'!H18</f>
        <v>25</v>
      </c>
    </row>
    <row r="23" spans="3:8" x14ac:dyDescent="0.35">
      <c r="D23" s="38" t="s">
        <v>357</v>
      </c>
    </row>
    <row r="24" spans="3:8" x14ac:dyDescent="0.35">
      <c r="D24" s="39">
        <f>'A - Base data at Dec 31, 2019'!D20</f>
        <v>0.5</v>
      </c>
      <c r="E24" s="38" t="s">
        <v>358</v>
      </c>
    </row>
    <row r="25" spans="3:8" x14ac:dyDescent="0.35">
      <c r="D25" s="16">
        <f>1-D24</f>
        <v>0.5</v>
      </c>
      <c r="E25" s="38" t="s">
        <v>359</v>
      </c>
    </row>
    <row r="26" spans="3:8" x14ac:dyDescent="0.35">
      <c r="D26" s="39">
        <f>'A - Base data at Dec 31, 2019'!D22</f>
        <v>0.25</v>
      </c>
      <c r="E26" s="38" t="s">
        <v>360</v>
      </c>
    </row>
    <row r="27" spans="3:8" x14ac:dyDescent="0.35">
      <c r="D27" s="16">
        <f>1-D26</f>
        <v>0.75</v>
      </c>
      <c r="E27" s="38" t="s">
        <v>361</v>
      </c>
    </row>
    <row r="28" spans="3:8" x14ac:dyDescent="0.35">
      <c r="D28" s="38" t="s">
        <v>434</v>
      </c>
    </row>
    <row r="29" spans="3:8" x14ac:dyDescent="0.35">
      <c r="D29" t="s">
        <v>362</v>
      </c>
    </row>
    <row r="30" spans="3:8" x14ac:dyDescent="0.35">
      <c r="D30" t="s">
        <v>363</v>
      </c>
    </row>
    <row r="32" spans="3:8" x14ac:dyDescent="0.35">
      <c r="C32" t="s">
        <v>18</v>
      </c>
      <c r="H32" s="37">
        <f>'A - Base data at Dec 31, 2019'!H28</f>
        <v>30</v>
      </c>
    </row>
    <row r="33" spans="3:13" x14ac:dyDescent="0.35">
      <c r="D33" t="s">
        <v>435</v>
      </c>
    </row>
    <row r="34" spans="3:13" x14ac:dyDescent="0.35">
      <c r="D34" t="s">
        <v>29</v>
      </c>
    </row>
    <row r="35" spans="3:13" x14ac:dyDescent="0.35">
      <c r="D35" t="s">
        <v>30</v>
      </c>
      <c r="K35">
        <v>6</v>
      </c>
      <c r="L35" t="s">
        <v>31</v>
      </c>
    </row>
    <row r="37" spans="3:13" x14ac:dyDescent="0.35">
      <c r="C37" t="s">
        <v>12</v>
      </c>
    </row>
    <row r="38" spans="3:13" x14ac:dyDescent="0.35">
      <c r="G38" s="126" t="s">
        <v>92</v>
      </c>
      <c r="H38" s="126"/>
      <c r="I38" s="126"/>
      <c r="J38" s="126"/>
      <c r="K38" s="126"/>
      <c r="L38" s="126"/>
      <c r="M38" s="126"/>
    </row>
    <row r="39" spans="3:13" x14ac:dyDescent="0.35">
      <c r="G39" s="5" t="s">
        <v>21</v>
      </c>
      <c r="H39" s="20" t="s">
        <v>22</v>
      </c>
      <c r="I39" s="20" t="s">
        <v>23</v>
      </c>
      <c r="J39" s="20" t="s">
        <v>24</v>
      </c>
      <c r="K39" s="20" t="s">
        <v>25</v>
      </c>
      <c r="L39" s="20" t="s">
        <v>26</v>
      </c>
      <c r="M39" s="20" t="s">
        <v>27</v>
      </c>
    </row>
    <row r="40" spans="3:13" x14ac:dyDescent="0.35">
      <c r="G40" s="40">
        <f>'A - Base data at Dec 31, 2019'!G36</f>
        <v>0.02</v>
      </c>
      <c r="H40" s="40">
        <f>'A - Base data at Dec 31, 2019'!H36</f>
        <v>0.02</v>
      </c>
      <c r="I40" s="40">
        <f>'A - Base data at Dec 31, 2019'!I36</f>
        <v>0.02</v>
      </c>
      <c r="J40" s="40">
        <f>'A - Base data at Dec 31, 2019'!J36</f>
        <v>0.02</v>
      </c>
      <c r="K40" s="40">
        <f>'A - Base data at Dec 31, 2019'!K36</f>
        <v>0.02</v>
      </c>
      <c r="L40" s="40">
        <f>'A - Base data at Dec 31, 2019'!L36</f>
        <v>0.02</v>
      </c>
      <c r="M40" s="40">
        <f>'A - Base data at Dec 31, 2019'!M36</f>
        <v>0.02</v>
      </c>
    </row>
    <row r="42" spans="3:13" x14ac:dyDescent="0.35">
      <c r="D42" t="s">
        <v>16</v>
      </c>
    </row>
    <row r="43" spans="3:13" x14ac:dyDescent="0.35">
      <c r="D43" t="s">
        <v>28</v>
      </c>
    </row>
    <row r="45" spans="3:13" x14ac:dyDescent="0.35">
      <c r="C45" t="s">
        <v>20</v>
      </c>
    </row>
    <row r="46" spans="3:13" x14ac:dyDescent="0.35">
      <c r="D46" t="s">
        <v>436</v>
      </c>
    </row>
    <row r="48" spans="3:13" x14ac:dyDescent="0.35">
      <c r="C48" s="1" t="s">
        <v>43</v>
      </c>
      <c r="D48" s="1"/>
      <c r="E48" s="1"/>
      <c r="F48" s="1"/>
      <c r="G48" s="1"/>
      <c r="H48" s="1"/>
      <c r="I48" s="1"/>
      <c r="J48" s="1"/>
      <c r="K48" s="1"/>
      <c r="L48" s="1"/>
      <c r="M48" s="1"/>
    </row>
    <row r="49" spans="2:23" x14ac:dyDescent="0.35">
      <c r="C49" s="1" t="s">
        <v>44</v>
      </c>
      <c r="D49" s="1"/>
      <c r="E49" s="1"/>
      <c r="F49" s="1"/>
      <c r="G49" s="1"/>
      <c r="H49" s="1"/>
      <c r="I49" s="1"/>
      <c r="J49" s="1"/>
      <c r="K49" s="1"/>
      <c r="L49" s="1"/>
      <c r="M49" s="1"/>
    </row>
    <row r="50" spans="2:23" x14ac:dyDescent="0.35">
      <c r="C50" s="1"/>
      <c r="D50" s="1"/>
      <c r="E50" s="1"/>
      <c r="F50" s="1"/>
      <c r="G50" s="1"/>
      <c r="H50" s="1"/>
      <c r="I50" s="1"/>
      <c r="J50" s="1"/>
      <c r="K50" s="1"/>
      <c r="L50" s="1"/>
      <c r="M50" s="1"/>
    </row>
    <row r="51" spans="2:23" x14ac:dyDescent="0.35">
      <c r="C51" s="1" t="s">
        <v>366</v>
      </c>
      <c r="D51" s="1"/>
      <c r="E51" s="1"/>
      <c r="F51" s="1"/>
      <c r="G51" s="1"/>
      <c r="H51" s="1"/>
      <c r="I51" s="1"/>
      <c r="J51" s="1"/>
      <c r="K51" s="1"/>
      <c r="L51" s="1"/>
      <c r="M51" s="1"/>
    </row>
    <row r="52" spans="2:23" x14ac:dyDescent="0.35">
      <c r="C52" s="1"/>
      <c r="D52" s="1"/>
      <c r="E52" s="1"/>
      <c r="F52" s="1"/>
      <c r="G52" s="1"/>
      <c r="H52" s="1"/>
      <c r="I52" s="1"/>
      <c r="J52" s="1"/>
      <c r="K52" s="1"/>
      <c r="L52" s="1"/>
      <c r="M52" s="1"/>
    </row>
    <row r="53" spans="2:23" x14ac:dyDescent="0.35">
      <c r="C53" s="1" t="s">
        <v>437</v>
      </c>
      <c r="D53" s="1"/>
      <c r="E53" s="1"/>
      <c r="F53" s="1"/>
      <c r="G53" s="1"/>
      <c r="H53" s="1"/>
      <c r="I53" s="1"/>
      <c r="J53" s="1"/>
      <c r="K53" s="1"/>
      <c r="L53" s="1"/>
      <c r="M53" s="1"/>
    </row>
    <row r="54" spans="2:23" x14ac:dyDescent="0.35">
      <c r="C54" s="1"/>
      <c r="D54" s="1"/>
      <c r="E54" s="1"/>
      <c r="F54" s="1"/>
      <c r="G54" s="1"/>
      <c r="H54" s="1"/>
      <c r="I54" s="1"/>
      <c r="J54" s="1"/>
      <c r="K54" s="1"/>
      <c r="L54" s="1"/>
      <c r="M54" s="1"/>
    </row>
    <row r="55" spans="2:23" x14ac:dyDescent="0.35">
      <c r="C55" s="45" t="s">
        <v>438</v>
      </c>
      <c r="D55" s="1"/>
      <c r="E55" s="1"/>
      <c r="F55" s="1"/>
      <c r="G55" s="1"/>
      <c r="H55" s="1"/>
      <c r="I55" s="1"/>
      <c r="J55" s="1"/>
      <c r="K55" s="1"/>
      <c r="L55" s="1"/>
      <c r="M55" s="1"/>
    </row>
    <row r="56" spans="2:23" x14ac:dyDescent="0.35">
      <c r="C56" s="45" t="s">
        <v>237</v>
      </c>
      <c r="D56" s="1"/>
      <c r="E56" s="1"/>
      <c r="F56" s="1"/>
      <c r="G56" s="1"/>
      <c r="H56" s="1"/>
      <c r="I56" s="1"/>
      <c r="J56" s="1"/>
      <c r="K56" s="1"/>
      <c r="L56" s="1"/>
      <c r="M56" s="1"/>
    </row>
    <row r="57" spans="2:23" s="28" customFormat="1" x14ac:dyDescent="0.35">
      <c r="W57" s="63"/>
    </row>
    <row r="58" spans="2:23" x14ac:dyDescent="0.35">
      <c r="B58" s="1" t="s">
        <v>32</v>
      </c>
    </row>
    <row r="60" spans="2:23" s="2" customFormat="1" x14ac:dyDescent="0.35">
      <c r="C60" s="127" t="s">
        <v>439</v>
      </c>
      <c r="D60" s="127"/>
      <c r="E60" s="127"/>
      <c r="F60" s="127"/>
      <c r="G60" s="127"/>
      <c r="H60" s="127"/>
      <c r="I60" s="127"/>
      <c r="J60" s="127"/>
      <c r="K60" s="3"/>
      <c r="L60" s="3"/>
      <c r="M60" s="3"/>
      <c r="W60" s="62"/>
    </row>
    <row r="61" spans="2:23" s="2" customFormat="1" x14ac:dyDescent="0.35">
      <c r="C61" s="4" t="s">
        <v>110</v>
      </c>
      <c r="D61" s="126" t="s">
        <v>0</v>
      </c>
      <c r="E61" s="126"/>
      <c r="F61" s="126"/>
      <c r="G61" s="126"/>
      <c r="H61" s="126"/>
      <c r="I61" s="126"/>
      <c r="J61" s="126"/>
      <c r="W61" s="62"/>
    </row>
    <row r="62" spans="2:23" s="2" customFormat="1" x14ac:dyDescent="0.35">
      <c r="C62" s="4" t="s">
        <v>1</v>
      </c>
      <c r="D62" s="5">
        <v>2020</v>
      </c>
      <c r="E62" s="5">
        <v>2021</v>
      </c>
      <c r="F62" s="5">
        <v>2022</v>
      </c>
      <c r="G62" s="5">
        <v>2023</v>
      </c>
      <c r="H62" s="5">
        <v>2024</v>
      </c>
      <c r="I62" s="5">
        <v>2025</v>
      </c>
      <c r="J62" s="5">
        <v>2026</v>
      </c>
      <c r="K62" s="6"/>
      <c r="L62" s="6"/>
      <c r="M62" s="6"/>
      <c r="W62" s="62"/>
    </row>
    <row r="63" spans="2:23" s="2" customFormat="1" x14ac:dyDescent="0.35">
      <c r="C63" s="4">
        <f>IF(F13=0,2020,2019)</f>
        <v>2020</v>
      </c>
      <c r="D63" s="6" t="s">
        <v>2</v>
      </c>
      <c r="E63" s="6" t="s">
        <v>3</v>
      </c>
      <c r="F63" s="6" t="s">
        <v>3</v>
      </c>
      <c r="G63" s="6" t="s">
        <v>3</v>
      </c>
      <c r="H63" s="6" t="s">
        <v>3</v>
      </c>
      <c r="I63" s="6" t="s">
        <v>3</v>
      </c>
      <c r="J63" s="6" t="s">
        <v>3</v>
      </c>
      <c r="K63" s="6"/>
      <c r="L63" s="6"/>
      <c r="M63" s="6"/>
      <c r="W63" s="62"/>
    </row>
    <row r="64" spans="2:23" s="2" customFormat="1" x14ac:dyDescent="0.35">
      <c r="C64" s="4">
        <f>C63+1</f>
        <v>2021</v>
      </c>
      <c r="E64" s="6" t="s">
        <v>2</v>
      </c>
      <c r="F64" s="6" t="s">
        <v>3</v>
      </c>
      <c r="G64" s="6" t="s">
        <v>3</v>
      </c>
      <c r="H64" s="6" t="s">
        <v>3</v>
      </c>
      <c r="I64" s="6" t="s">
        <v>3</v>
      </c>
      <c r="J64" s="6" t="s">
        <v>3</v>
      </c>
      <c r="K64" s="6"/>
      <c r="L64" s="6"/>
      <c r="M64" s="6"/>
      <c r="W64" s="62"/>
    </row>
    <row r="65" spans="2:23" s="2" customFormat="1" x14ac:dyDescent="0.35">
      <c r="C65" s="4">
        <f t="shared" ref="C65:C67" si="0">C64+1</f>
        <v>2022</v>
      </c>
      <c r="F65" s="6" t="s">
        <v>2</v>
      </c>
      <c r="G65" s="6" t="s">
        <v>3</v>
      </c>
      <c r="H65" s="6" t="s">
        <v>3</v>
      </c>
      <c r="I65" s="6" t="s">
        <v>3</v>
      </c>
      <c r="J65" s="6" t="s">
        <v>3</v>
      </c>
      <c r="K65" s="6"/>
      <c r="L65" s="6"/>
      <c r="M65" s="6"/>
      <c r="W65" s="62"/>
    </row>
    <row r="66" spans="2:23" s="2" customFormat="1" x14ac:dyDescent="0.35">
      <c r="C66" s="4">
        <f t="shared" si="0"/>
        <v>2023</v>
      </c>
      <c r="G66" s="6" t="s">
        <v>2</v>
      </c>
      <c r="H66" s="6" t="s">
        <v>3</v>
      </c>
      <c r="I66" s="6" t="s">
        <v>3</v>
      </c>
      <c r="J66" s="6" t="s">
        <v>3</v>
      </c>
      <c r="K66" s="6"/>
      <c r="L66" s="6"/>
      <c r="M66" s="6"/>
      <c r="W66" s="62"/>
    </row>
    <row r="67" spans="2:23" s="2" customFormat="1" x14ac:dyDescent="0.35">
      <c r="C67" s="4">
        <f t="shared" si="0"/>
        <v>2024</v>
      </c>
      <c r="H67" s="6" t="s">
        <v>2</v>
      </c>
      <c r="I67" s="6" t="s">
        <v>3</v>
      </c>
      <c r="J67" s="6" t="s">
        <v>3</v>
      </c>
      <c r="K67" s="6"/>
      <c r="L67" s="6"/>
      <c r="M67" s="6"/>
      <c r="W67" s="62"/>
    </row>
    <row r="68" spans="2:23" s="64" customFormat="1" x14ac:dyDescent="0.35">
      <c r="I68" s="65"/>
      <c r="W68" s="66"/>
    </row>
    <row r="69" spans="2:23" s="2" customFormat="1" x14ac:dyDescent="0.35">
      <c r="B69" s="2" t="s">
        <v>33</v>
      </c>
      <c r="C69" s="19" t="s">
        <v>440</v>
      </c>
      <c r="K69" s="7"/>
      <c r="L69" s="7"/>
      <c r="M69" s="19" t="s">
        <v>441</v>
      </c>
      <c r="W69" s="62"/>
    </row>
    <row r="70" spans="2:23" s="2" customFormat="1" x14ac:dyDescent="0.35">
      <c r="C70" s="4" t="s">
        <v>150</v>
      </c>
      <c r="D70" s="126" t="s">
        <v>0</v>
      </c>
      <c r="E70" s="126"/>
      <c r="F70" s="126"/>
      <c r="G70" s="126"/>
      <c r="H70" s="126"/>
      <c r="I70" s="126"/>
      <c r="J70" s="126"/>
      <c r="K70" s="7"/>
      <c r="L70" s="7"/>
      <c r="M70" s="4" t="s">
        <v>150</v>
      </c>
      <c r="N70" s="126" t="s">
        <v>0</v>
      </c>
      <c r="O70" s="126"/>
      <c r="P70" s="126"/>
      <c r="Q70" s="126"/>
      <c r="R70" s="126"/>
      <c r="S70" s="126"/>
      <c r="T70" s="126"/>
      <c r="W70" s="62"/>
    </row>
    <row r="71" spans="2:23" s="2" customFormat="1" x14ac:dyDescent="0.35">
      <c r="C71" s="4" t="s">
        <v>1</v>
      </c>
      <c r="D71" s="5">
        <v>2020</v>
      </c>
      <c r="E71" s="5">
        <v>2021</v>
      </c>
      <c r="F71" s="5">
        <v>2022</v>
      </c>
      <c r="G71" s="5">
        <v>2023</v>
      </c>
      <c r="H71" s="5">
        <v>2024</v>
      </c>
      <c r="I71" s="5">
        <v>2025</v>
      </c>
      <c r="J71" s="5">
        <v>2026</v>
      </c>
      <c r="K71" s="7"/>
      <c r="L71" s="7"/>
      <c r="M71" s="4" t="s">
        <v>1</v>
      </c>
      <c r="N71" s="5">
        <v>2020</v>
      </c>
      <c r="O71" s="5">
        <v>2021</v>
      </c>
      <c r="P71" s="5">
        <v>2022</v>
      </c>
      <c r="Q71" s="5">
        <v>2023</v>
      </c>
      <c r="R71" s="5">
        <v>2024</v>
      </c>
      <c r="S71" s="5">
        <v>2025</v>
      </c>
      <c r="T71" s="5">
        <v>2026</v>
      </c>
      <c r="W71" s="62" t="s">
        <v>239</v>
      </c>
    </row>
    <row r="72" spans="2:23" s="2" customFormat="1" x14ac:dyDescent="0.35">
      <c r="C72" s="4">
        <f>C82</f>
        <v>2020</v>
      </c>
      <c r="D72" s="42">
        <f>'A - Base data at Dec 31, 2019'!D63</f>
        <v>50</v>
      </c>
      <c r="E72" s="42">
        <f>'A - Base data at Dec 31, 2019'!E63</f>
        <v>45</v>
      </c>
      <c r="F72" s="7">
        <f t="shared" ref="F72:J73" si="1">E72*$K$9</f>
        <v>38.25</v>
      </c>
      <c r="G72" s="7">
        <f t="shared" si="1"/>
        <v>32.512499999999996</v>
      </c>
      <c r="H72" s="7">
        <f t="shared" si="1"/>
        <v>27.635624999999994</v>
      </c>
      <c r="I72" s="7">
        <f t="shared" si="1"/>
        <v>23.490281249999995</v>
      </c>
      <c r="J72" s="7">
        <f t="shared" si="1"/>
        <v>19.966739062499997</v>
      </c>
      <c r="K72" s="7"/>
      <c r="L72" s="7"/>
      <c r="M72" s="4">
        <f>M82</f>
        <v>2020</v>
      </c>
      <c r="N72" s="7">
        <f>D72</f>
        <v>50</v>
      </c>
      <c r="O72" s="7">
        <f>E72</f>
        <v>45</v>
      </c>
      <c r="P72" s="7">
        <f>F72/(1+$G$40)</f>
        <v>37.5</v>
      </c>
      <c r="Q72" s="7">
        <f>G72/(1+$H$40)^2</f>
        <v>31.249999999999996</v>
      </c>
      <c r="R72" s="7">
        <f>H72/(1+$I$40)^3</f>
        <v>26.041666666666664</v>
      </c>
      <c r="S72" s="7">
        <f>I72/(1+$J$40)^4</f>
        <v>21.701388888888886</v>
      </c>
      <c r="T72" s="7">
        <f>J72/(1+$K$40)^5</f>
        <v>18.084490740740737</v>
      </c>
      <c r="U72" s="7"/>
      <c r="W72" s="62" t="s">
        <v>238</v>
      </c>
    </row>
    <row r="73" spans="2:23" s="2" customFormat="1" x14ac:dyDescent="0.35">
      <c r="C73" s="4">
        <f>C83</f>
        <v>2021</v>
      </c>
      <c r="D73" s="18"/>
      <c r="E73" s="42">
        <f>'A - Base data at Dec 31, 2019'!E64</f>
        <v>50</v>
      </c>
      <c r="F73" s="7">
        <f t="shared" si="1"/>
        <v>42.5</v>
      </c>
      <c r="G73" s="7">
        <f t="shared" si="1"/>
        <v>36.125</v>
      </c>
      <c r="H73" s="7">
        <f t="shared" si="1"/>
        <v>30.706250000000001</v>
      </c>
      <c r="I73" s="7">
        <f t="shared" si="1"/>
        <v>26.100312500000001</v>
      </c>
      <c r="J73" s="7">
        <f t="shared" si="1"/>
        <v>22.185265625</v>
      </c>
      <c r="K73" s="7"/>
      <c r="L73" s="7"/>
      <c r="M73" s="4">
        <f>M83</f>
        <v>2021</v>
      </c>
      <c r="N73" s="7"/>
      <c r="O73" s="7">
        <f t="shared" ref="O73" si="2">E73</f>
        <v>50</v>
      </c>
      <c r="P73" s="7">
        <f t="shared" ref="P73:P74" si="3">F73/(1+$G$40)</f>
        <v>41.666666666666664</v>
      </c>
      <c r="Q73" s="7">
        <f t="shared" ref="Q73:Q75" si="4">G73/(1+$H$40)^2</f>
        <v>34.722222222222221</v>
      </c>
      <c r="R73" s="7">
        <f t="shared" ref="R73:R76" si="5">H73/(1+$I$40)^3</f>
        <v>28.935185185185187</v>
      </c>
      <c r="S73" s="7">
        <f t="shared" ref="S73:S76" si="6">I73/(1+$J$40)^4</f>
        <v>24.112654320987655</v>
      </c>
      <c r="T73" s="7">
        <f t="shared" ref="T73:T76" si="7">J73/(1+$K$40)^5</f>
        <v>20.093878600823043</v>
      </c>
      <c r="W73" s="62"/>
    </row>
    <row r="74" spans="2:23" s="2" customFormat="1" x14ac:dyDescent="0.35">
      <c r="C74" s="4">
        <f>C84</f>
        <v>2022</v>
      </c>
      <c r="D74" s="18"/>
      <c r="E74" s="7"/>
      <c r="F74" s="7">
        <f>F8</f>
        <v>50</v>
      </c>
      <c r="G74" s="7">
        <f>F74*$K$9</f>
        <v>42.5</v>
      </c>
      <c r="H74" s="7">
        <f>G74*$K$9</f>
        <v>36.125</v>
      </c>
      <c r="I74" s="7">
        <f>H74*$K$9</f>
        <v>30.706250000000001</v>
      </c>
      <c r="J74" s="7">
        <f>I74*$K$9</f>
        <v>26.100312500000001</v>
      </c>
      <c r="K74" s="7"/>
      <c r="L74" s="7"/>
      <c r="M74" s="4">
        <f>M84</f>
        <v>2022</v>
      </c>
      <c r="N74" s="7"/>
      <c r="O74" s="7"/>
      <c r="P74" s="7">
        <f t="shared" si="3"/>
        <v>49.019607843137251</v>
      </c>
      <c r="Q74" s="7">
        <f t="shared" si="4"/>
        <v>40.849673202614376</v>
      </c>
      <c r="R74" s="7">
        <f t="shared" si="5"/>
        <v>34.041394335511988</v>
      </c>
      <c r="S74" s="7">
        <f t="shared" si="6"/>
        <v>28.367828612926655</v>
      </c>
      <c r="T74" s="7">
        <f t="shared" si="7"/>
        <v>23.639857177438877</v>
      </c>
      <c r="W74" s="62" t="s">
        <v>240</v>
      </c>
    </row>
    <row r="75" spans="2:23" s="2" customFormat="1" x14ac:dyDescent="0.35">
      <c r="C75" s="4">
        <f>C85</f>
        <v>2023</v>
      </c>
      <c r="D75" s="18"/>
      <c r="E75" s="7"/>
      <c r="F75" s="7"/>
      <c r="G75" s="7">
        <f>F8</f>
        <v>50</v>
      </c>
      <c r="H75" s="7">
        <f>G75*$K$9</f>
        <v>42.5</v>
      </c>
      <c r="I75" s="7">
        <f>H75*$K$9</f>
        <v>36.125</v>
      </c>
      <c r="J75" s="7">
        <f>I75*$K$9</f>
        <v>30.706250000000001</v>
      </c>
      <c r="K75" s="7"/>
      <c r="L75" s="7"/>
      <c r="M75" s="4">
        <f>M85</f>
        <v>2023</v>
      </c>
      <c r="N75" s="7"/>
      <c r="O75" s="7"/>
      <c r="P75" s="7"/>
      <c r="Q75" s="7">
        <f t="shared" si="4"/>
        <v>48.058439061899271</v>
      </c>
      <c r="R75" s="7">
        <f t="shared" si="5"/>
        <v>40.048699218249396</v>
      </c>
      <c r="S75" s="7">
        <f t="shared" si="6"/>
        <v>33.373916015207826</v>
      </c>
      <c r="T75" s="7">
        <f t="shared" si="7"/>
        <v>27.811596679339857</v>
      </c>
      <c r="W75" s="62" t="s">
        <v>241</v>
      </c>
    </row>
    <row r="76" spans="2:23" s="2" customFormat="1" x14ac:dyDescent="0.35">
      <c r="C76" s="4">
        <f>C86</f>
        <v>2024</v>
      </c>
      <c r="D76" s="18"/>
      <c r="E76" s="7"/>
      <c r="F76" s="7"/>
      <c r="G76" s="7"/>
      <c r="H76" s="7">
        <f>F8</f>
        <v>50</v>
      </c>
      <c r="I76" s="7">
        <f>H76*$K$9</f>
        <v>42.5</v>
      </c>
      <c r="J76" s="7">
        <f>I76*$K$9</f>
        <v>36.125</v>
      </c>
      <c r="K76" s="7"/>
      <c r="L76" s="7"/>
      <c r="M76" s="4">
        <f>M86</f>
        <v>2024</v>
      </c>
      <c r="N76" s="7"/>
      <c r="O76" s="7"/>
      <c r="P76" s="7"/>
      <c r="Q76" s="7"/>
      <c r="R76" s="7">
        <f t="shared" si="5"/>
        <v>47.116116727352228</v>
      </c>
      <c r="S76" s="7">
        <f t="shared" si="6"/>
        <v>39.263430606126853</v>
      </c>
      <c r="T76" s="7">
        <f t="shared" si="7"/>
        <v>32.719525505105715</v>
      </c>
      <c r="W76" s="62" t="s">
        <v>242</v>
      </c>
    </row>
    <row r="77" spans="2:23" s="2" customFormat="1" x14ac:dyDescent="0.35">
      <c r="C77" s="5" t="s">
        <v>4</v>
      </c>
      <c r="D77" s="8">
        <f t="shared" ref="D77:J77" si="8">SUM(D72:D76)</f>
        <v>50</v>
      </c>
      <c r="E77" s="8">
        <f t="shared" si="8"/>
        <v>95</v>
      </c>
      <c r="F77" s="8">
        <f t="shared" si="8"/>
        <v>130.75</v>
      </c>
      <c r="G77" s="8">
        <f t="shared" si="8"/>
        <v>161.13749999999999</v>
      </c>
      <c r="H77" s="8">
        <f t="shared" si="8"/>
        <v>186.96687499999999</v>
      </c>
      <c r="I77" s="8">
        <f t="shared" si="8"/>
        <v>158.92184374999999</v>
      </c>
      <c r="J77" s="8">
        <f t="shared" si="8"/>
        <v>135.08356718749999</v>
      </c>
      <c r="K77" s="7"/>
      <c r="L77" s="7"/>
      <c r="M77" s="5" t="s">
        <v>4</v>
      </c>
      <c r="N77" s="8">
        <f t="shared" ref="N77:T77" si="9">SUM(N72:N76)</f>
        <v>50</v>
      </c>
      <c r="O77" s="8">
        <f t="shared" si="9"/>
        <v>95</v>
      </c>
      <c r="P77" s="8">
        <f t="shared" si="9"/>
        <v>128.18627450980392</v>
      </c>
      <c r="Q77" s="8">
        <f t="shared" si="9"/>
        <v>154.88033448673585</v>
      </c>
      <c r="R77" s="8">
        <f t="shared" si="9"/>
        <v>176.18306213296546</v>
      </c>
      <c r="S77" s="8">
        <f t="shared" si="9"/>
        <v>146.81921844413787</v>
      </c>
      <c r="T77" s="8">
        <f t="shared" si="9"/>
        <v>122.34934870344821</v>
      </c>
      <c r="W77" s="62"/>
    </row>
    <row r="78" spans="2:23" s="64" customFormat="1" x14ac:dyDescent="0.35">
      <c r="W78" s="66"/>
    </row>
    <row r="79" spans="2:23" s="2" customFormat="1" x14ac:dyDescent="0.35">
      <c r="B79" s="2" t="s">
        <v>34</v>
      </c>
      <c r="C79" s="19" t="s">
        <v>442</v>
      </c>
      <c r="M79" s="19" t="s">
        <v>443</v>
      </c>
      <c r="W79" s="62"/>
    </row>
    <row r="80" spans="2:23" s="2" customFormat="1" x14ac:dyDescent="0.35">
      <c r="C80" s="4" t="s">
        <v>150</v>
      </c>
      <c r="D80" s="126" t="s">
        <v>0</v>
      </c>
      <c r="E80" s="126"/>
      <c r="F80" s="126"/>
      <c r="G80" s="126"/>
      <c r="H80" s="126"/>
      <c r="I80" s="126"/>
      <c r="J80" s="126"/>
      <c r="M80" s="4" t="s">
        <v>150</v>
      </c>
      <c r="N80" s="126" t="s">
        <v>0</v>
      </c>
      <c r="O80" s="126"/>
      <c r="P80" s="126"/>
      <c r="Q80" s="126"/>
      <c r="R80" s="126"/>
      <c r="S80" s="126"/>
      <c r="T80" s="126"/>
      <c r="W80" s="62"/>
    </row>
    <row r="81" spans="2:23" s="2" customFormat="1" x14ac:dyDescent="0.35">
      <c r="C81" s="4" t="s">
        <v>1</v>
      </c>
      <c r="D81" s="5">
        <v>2020</v>
      </c>
      <c r="E81" s="5">
        <v>2021</v>
      </c>
      <c r="F81" s="5">
        <v>2022</v>
      </c>
      <c r="G81" s="5">
        <v>2023</v>
      </c>
      <c r="H81" s="5">
        <v>2024</v>
      </c>
      <c r="I81" s="5">
        <v>2025</v>
      </c>
      <c r="J81" s="5">
        <v>2026</v>
      </c>
      <c r="K81" s="6"/>
      <c r="L81" s="6"/>
      <c r="M81" s="4" t="s">
        <v>1</v>
      </c>
      <c r="N81" s="5">
        <v>2020</v>
      </c>
      <c r="O81" s="5">
        <v>2021</v>
      </c>
      <c r="P81" s="5">
        <v>2022</v>
      </c>
      <c r="Q81" s="5">
        <v>2023</v>
      </c>
      <c r="R81" s="5">
        <v>2024</v>
      </c>
      <c r="S81" s="5">
        <v>2025</v>
      </c>
      <c r="T81" s="5">
        <v>2026</v>
      </c>
      <c r="W81" s="62" t="s">
        <v>243</v>
      </c>
    </row>
    <row r="82" spans="2:23" s="2" customFormat="1" x14ac:dyDescent="0.35">
      <c r="C82" s="4">
        <f>C63</f>
        <v>2020</v>
      </c>
      <c r="D82" s="42">
        <f>'A - Base data at Dec 31, 2019'!D73</f>
        <v>40</v>
      </c>
      <c r="E82" s="7">
        <f t="shared" ref="E82:J83" si="10">E72*$H$16</f>
        <v>38.250000000000007</v>
      </c>
      <c r="F82" s="7">
        <f t="shared" si="10"/>
        <v>32.512500000000003</v>
      </c>
      <c r="G82" s="7">
        <f t="shared" si="10"/>
        <v>27.635625000000001</v>
      </c>
      <c r="H82" s="7">
        <f t="shared" si="10"/>
        <v>23.490281249999999</v>
      </c>
      <c r="I82" s="7">
        <f t="shared" si="10"/>
        <v>19.966739062499997</v>
      </c>
      <c r="J82" s="7">
        <f t="shared" si="10"/>
        <v>16.971728203125</v>
      </c>
      <c r="K82" s="7"/>
      <c r="L82" s="7"/>
      <c r="M82" s="4">
        <f>C82</f>
        <v>2020</v>
      </c>
      <c r="N82" s="7">
        <f>D82</f>
        <v>40</v>
      </c>
      <c r="O82" s="7">
        <f>E82/(1+$G$40)^0.5</f>
        <v>37.873143518857795</v>
      </c>
      <c r="P82" s="7">
        <f>F82/(1+$H$40)^1.5</f>
        <v>31.560952932381493</v>
      </c>
      <c r="Q82" s="7">
        <f>G82/(1+$I$40)^2.5</f>
        <v>26.300794110317913</v>
      </c>
      <c r="R82" s="7">
        <f>H82/(1+$J$40)^3.5</f>
        <v>21.917328425264927</v>
      </c>
      <c r="S82" s="7">
        <f>I82/(1+$K$40)^4.5</f>
        <v>18.264440354387435</v>
      </c>
      <c r="T82" s="7">
        <f>J82/(1+$L$40)^5.5</f>
        <v>15.220366961989532</v>
      </c>
      <c r="U82" s="7"/>
      <c r="W82" s="62" t="s">
        <v>108</v>
      </c>
    </row>
    <row r="83" spans="2:23" s="2" customFormat="1" x14ac:dyDescent="0.35">
      <c r="C83" s="4">
        <f>C64</f>
        <v>2021</v>
      </c>
      <c r="D83" s="18"/>
      <c r="E83" s="7">
        <f t="shared" si="10"/>
        <v>42.500000000000007</v>
      </c>
      <c r="F83" s="7">
        <f t="shared" si="10"/>
        <v>36.125000000000007</v>
      </c>
      <c r="G83" s="7">
        <f t="shared" si="10"/>
        <v>30.706250000000004</v>
      </c>
      <c r="H83" s="7">
        <f t="shared" si="10"/>
        <v>26.100312500000005</v>
      </c>
      <c r="I83" s="7">
        <f t="shared" si="10"/>
        <v>22.185265625000003</v>
      </c>
      <c r="J83" s="7">
        <f t="shared" si="10"/>
        <v>18.857475781250002</v>
      </c>
      <c r="K83" s="7"/>
      <c r="L83" s="7"/>
      <c r="M83" s="4">
        <f t="shared" ref="M83:M86" si="11">C83</f>
        <v>2021</v>
      </c>
      <c r="N83" s="18"/>
      <c r="O83" s="7">
        <f t="shared" ref="O83" si="12">E83/(1+$G$40)^0.5</f>
        <v>42.081270576508665</v>
      </c>
      <c r="P83" s="7">
        <f t="shared" ref="P83:P84" si="13">F83/(1+$H$40)^1.5</f>
        <v>35.067725480423888</v>
      </c>
      <c r="Q83" s="7">
        <f t="shared" ref="Q83:Q85" si="14">G83/(1+$I$40)^2.5</f>
        <v>29.223104567019906</v>
      </c>
      <c r="R83" s="7">
        <f t="shared" ref="R83:R86" si="15">H83/(1+$J$40)^3.5</f>
        <v>24.352587139183257</v>
      </c>
      <c r="S83" s="7">
        <f t="shared" ref="S83:S86" si="16">I83/(1+$K$40)^4.5</f>
        <v>20.293822615986045</v>
      </c>
      <c r="T83" s="7">
        <f t="shared" ref="T83:T86" si="17">J83/(1+$L$40)^5.5</f>
        <v>16.911518846655039</v>
      </c>
      <c r="W83" s="62"/>
    </row>
    <row r="84" spans="2:23" s="2" customFormat="1" x14ac:dyDescent="0.35">
      <c r="C84" s="4">
        <f>C65</f>
        <v>2022</v>
      </c>
      <c r="D84" s="18"/>
      <c r="E84" s="7"/>
      <c r="F84" s="7">
        <f>F74*$H$16</f>
        <v>42.500000000000007</v>
      </c>
      <c r="G84" s="7">
        <f>G74*$H$16</f>
        <v>36.125000000000007</v>
      </c>
      <c r="H84" s="7">
        <f>H74*$H$16</f>
        <v>30.706250000000004</v>
      </c>
      <c r="I84" s="7">
        <f>I74*$H$16</f>
        <v>26.100312500000005</v>
      </c>
      <c r="J84" s="7">
        <f>J74*$H$16</f>
        <v>22.185265625000003</v>
      </c>
      <c r="K84" s="7"/>
      <c r="L84" s="7"/>
      <c r="M84" s="4">
        <f t="shared" si="11"/>
        <v>2022</v>
      </c>
      <c r="N84" s="18"/>
      <c r="O84" s="7"/>
      <c r="P84" s="7">
        <f t="shared" si="13"/>
        <v>41.256147624028102</v>
      </c>
      <c r="Q84" s="7">
        <f t="shared" si="14"/>
        <v>34.380123020023419</v>
      </c>
      <c r="R84" s="7">
        <f t="shared" si="15"/>
        <v>28.650102516686182</v>
      </c>
      <c r="S84" s="7">
        <f t="shared" si="16"/>
        <v>23.875085430571819</v>
      </c>
      <c r="T84" s="7">
        <f t="shared" si="17"/>
        <v>19.895904525476514</v>
      </c>
      <c r="W84" s="62" t="s">
        <v>244</v>
      </c>
    </row>
    <row r="85" spans="2:23" s="2" customFormat="1" x14ac:dyDescent="0.35">
      <c r="C85" s="4">
        <f>C66</f>
        <v>2023</v>
      </c>
      <c r="D85" s="18"/>
      <c r="E85" s="7"/>
      <c r="F85" s="7"/>
      <c r="G85" s="7">
        <f>G75*$H$16</f>
        <v>42.500000000000007</v>
      </c>
      <c r="H85" s="7">
        <f>H75*$H$16</f>
        <v>36.125000000000007</v>
      </c>
      <c r="I85" s="7">
        <f>I75*$H$16</f>
        <v>30.706250000000004</v>
      </c>
      <c r="J85" s="7">
        <f>J75*$H$16</f>
        <v>26.100312500000005</v>
      </c>
      <c r="K85" s="7"/>
      <c r="L85" s="7"/>
      <c r="M85" s="4">
        <f t="shared" si="11"/>
        <v>2023</v>
      </c>
      <c r="N85" s="18"/>
      <c r="O85" s="7"/>
      <c r="P85" s="7"/>
      <c r="Q85" s="7">
        <f t="shared" si="14"/>
        <v>40.44720355296873</v>
      </c>
      <c r="R85" s="7">
        <f t="shared" si="15"/>
        <v>33.706002960807275</v>
      </c>
      <c r="S85" s="7">
        <f t="shared" si="16"/>
        <v>28.088335800672727</v>
      </c>
      <c r="T85" s="7">
        <f t="shared" si="17"/>
        <v>23.406946500560608</v>
      </c>
      <c r="W85" s="62" t="s">
        <v>245</v>
      </c>
    </row>
    <row r="86" spans="2:23" s="2" customFormat="1" x14ac:dyDescent="0.35">
      <c r="C86" s="4">
        <f>C67</f>
        <v>2024</v>
      </c>
      <c r="D86" s="18"/>
      <c r="E86" s="7"/>
      <c r="F86" s="7"/>
      <c r="G86" s="7"/>
      <c r="H86" s="7">
        <f>H76*$H$16</f>
        <v>42.500000000000007</v>
      </c>
      <c r="I86" s="7">
        <f>I76*$H$16</f>
        <v>36.125000000000007</v>
      </c>
      <c r="J86" s="7">
        <f>J76*$H$16</f>
        <v>30.706250000000004</v>
      </c>
      <c r="K86" s="7"/>
      <c r="L86" s="7"/>
      <c r="M86" s="4">
        <f t="shared" si="11"/>
        <v>2024</v>
      </c>
      <c r="N86" s="18"/>
      <c r="O86" s="7"/>
      <c r="P86" s="7"/>
      <c r="Q86" s="7"/>
      <c r="R86" s="7">
        <f t="shared" si="15"/>
        <v>39.654121130361503</v>
      </c>
      <c r="S86" s="7">
        <f t="shared" si="16"/>
        <v>33.045100941967917</v>
      </c>
      <c r="T86" s="7">
        <f t="shared" si="17"/>
        <v>27.537584118306594</v>
      </c>
      <c r="W86" s="62" t="s">
        <v>109</v>
      </c>
    </row>
    <row r="87" spans="2:23" s="2" customFormat="1" x14ac:dyDescent="0.35">
      <c r="C87" s="5" t="s">
        <v>4</v>
      </c>
      <c r="D87" s="8">
        <f t="shared" ref="D87:J87" si="18">SUM(D82:D86)</f>
        <v>40</v>
      </c>
      <c r="E87" s="8">
        <f t="shared" si="18"/>
        <v>80.750000000000014</v>
      </c>
      <c r="F87" s="8">
        <f t="shared" si="18"/>
        <v>111.13750000000002</v>
      </c>
      <c r="G87" s="8">
        <f t="shared" si="18"/>
        <v>136.96687500000002</v>
      </c>
      <c r="H87" s="8">
        <f t="shared" si="18"/>
        <v>158.92184375000002</v>
      </c>
      <c r="I87" s="8">
        <f t="shared" si="18"/>
        <v>135.08356718749999</v>
      </c>
      <c r="J87" s="8">
        <f t="shared" si="18"/>
        <v>114.82103210937501</v>
      </c>
      <c r="K87" s="7"/>
      <c r="L87" s="7"/>
      <c r="M87" s="5" t="s">
        <v>4</v>
      </c>
      <c r="N87" s="8">
        <f t="shared" ref="N87:T87" si="19">SUM(N82:N86)</f>
        <v>40</v>
      </c>
      <c r="O87" s="8">
        <f t="shared" si="19"/>
        <v>79.954414095366459</v>
      </c>
      <c r="P87" s="8">
        <f t="shared" si="19"/>
        <v>107.88482603683349</v>
      </c>
      <c r="Q87" s="8">
        <f t="shared" si="19"/>
        <v>130.35122525032995</v>
      </c>
      <c r="R87" s="8">
        <f t="shared" si="19"/>
        <v>148.28014217230316</v>
      </c>
      <c r="S87" s="8">
        <f t="shared" si="19"/>
        <v>123.56678514358593</v>
      </c>
      <c r="T87" s="8">
        <f t="shared" si="19"/>
        <v>102.97232095298828</v>
      </c>
      <c r="W87" s="62" t="s">
        <v>246</v>
      </c>
    </row>
    <row r="88" spans="2:23" s="64" customFormat="1" x14ac:dyDescent="0.35">
      <c r="C88" s="65"/>
      <c r="D88" s="67"/>
      <c r="E88" s="67"/>
      <c r="F88" s="67"/>
      <c r="G88" s="67"/>
      <c r="H88" s="67"/>
      <c r="I88" s="67"/>
      <c r="J88" s="67"/>
      <c r="K88" s="67"/>
      <c r="L88" s="67"/>
      <c r="M88" s="67"/>
      <c r="N88" s="67"/>
      <c r="W88" s="66"/>
    </row>
    <row r="89" spans="2:23" s="2" customFormat="1" ht="31.75" customHeight="1" x14ac:dyDescent="0.35">
      <c r="B89" s="72" t="s">
        <v>35</v>
      </c>
      <c r="C89" s="125" t="s">
        <v>444</v>
      </c>
      <c r="D89" s="125"/>
      <c r="E89" s="125"/>
      <c r="F89" s="125"/>
      <c r="G89" s="125"/>
      <c r="H89" s="125"/>
      <c r="I89" s="125"/>
      <c r="J89" s="125"/>
      <c r="K89" s="125"/>
      <c r="L89" s="7"/>
      <c r="M89" s="125" t="s">
        <v>445</v>
      </c>
      <c r="N89" s="125"/>
      <c r="O89" s="125"/>
      <c r="P89" s="125"/>
      <c r="Q89" s="125"/>
      <c r="R89" s="125"/>
      <c r="S89" s="125"/>
      <c r="T89" s="125"/>
      <c r="U89" s="125"/>
      <c r="W89" s="62"/>
    </row>
    <row r="90" spans="2:23" s="2" customFormat="1" x14ac:dyDescent="0.35">
      <c r="C90" s="4" t="s">
        <v>150</v>
      </c>
      <c r="D90" s="126" t="s">
        <v>0</v>
      </c>
      <c r="E90" s="126"/>
      <c r="F90" s="126"/>
      <c r="G90" s="126"/>
      <c r="H90" s="126"/>
      <c r="I90" s="126"/>
      <c r="J90" s="126"/>
      <c r="K90" s="7"/>
      <c r="L90" s="7"/>
      <c r="M90" s="4" t="s">
        <v>150</v>
      </c>
      <c r="N90" s="126" t="s">
        <v>0</v>
      </c>
      <c r="O90" s="126"/>
      <c r="P90" s="126"/>
      <c r="Q90" s="126"/>
      <c r="R90" s="126"/>
      <c r="S90" s="126"/>
      <c r="T90" s="126"/>
      <c r="W90" s="62"/>
    </row>
    <row r="91" spans="2:23" s="2" customFormat="1" x14ac:dyDescent="0.35">
      <c r="C91" s="4" t="s">
        <v>1</v>
      </c>
      <c r="D91" s="5">
        <v>2020</v>
      </c>
      <c r="E91" s="5">
        <v>2021</v>
      </c>
      <c r="F91" s="5">
        <v>2022</v>
      </c>
      <c r="G91" s="5">
        <v>2023</v>
      </c>
      <c r="H91" s="5">
        <v>2024</v>
      </c>
      <c r="I91" s="5">
        <v>2025</v>
      </c>
      <c r="J91" s="5">
        <v>2026</v>
      </c>
      <c r="K91" s="7"/>
      <c r="L91" s="7"/>
      <c r="M91" s="4" t="s">
        <v>1</v>
      </c>
      <c r="N91" s="5">
        <v>2020</v>
      </c>
      <c r="O91" s="5">
        <v>2021</v>
      </c>
      <c r="P91" s="5">
        <v>2022</v>
      </c>
      <c r="Q91" s="5">
        <v>2023</v>
      </c>
      <c r="R91" s="5">
        <v>2024</v>
      </c>
      <c r="S91" s="5">
        <v>2025</v>
      </c>
      <c r="T91" s="5">
        <v>2026</v>
      </c>
      <c r="W91" s="62" t="s">
        <v>247</v>
      </c>
    </row>
    <row r="92" spans="2:23" s="2" customFormat="1" x14ac:dyDescent="0.35">
      <c r="C92" s="4">
        <f>C72</f>
        <v>2020</v>
      </c>
      <c r="D92" s="7">
        <f>H22*D24</f>
        <v>12.5</v>
      </c>
      <c r="E92" s="7">
        <v>0</v>
      </c>
      <c r="F92" s="7">
        <v>0</v>
      </c>
      <c r="G92" s="7">
        <v>0</v>
      </c>
      <c r="H92" s="7">
        <v>0</v>
      </c>
      <c r="I92" s="7">
        <v>0</v>
      </c>
      <c r="J92" s="7">
        <v>0</v>
      </c>
      <c r="K92" s="7"/>
      <c r="L92" s="7"/>
      <c r="M92" s="4">
        <f>M72</f>
        <v>2020</v>
      </c>
      <c r="N92" s="7">
        <f>D92</f>
        <v>12.5</v>
      </c>
      <c r="O92" s="7">
        <f>E92</f>
        <v>0</v>
      </c>
      <c r="P92" s="7">
        <f>F92/(1+$G$40)</f>
        <v>0</v>
      </c>
      <c r="Q92" s="7">
        <f>G92/(1+$H$40)^2</f>
        <v>0</v>
      </c>
      <c r="R92" s="7">
        <f>H92/(1+$I$40)^3</f>
        <v>0</v>
      </c>
      <c r="S92" s="7">
        <f>I92/(1+$J$40)^4</f>
        <v>0</v>
      </c>
      <c r="T92" s="7">
        <f>J92/(1+$K$40)^5</f>
        <v>0</v>
      </c>
      <c r="W92" s="62" t="s">
        <v>378</v>
      </c>
    </row>
    <row r="93" spans="2:23" s="2" customFormat="1" x14ac:dyDescent="0.35">
      <c r="C93" s="4">
        <f>C73</f>
        <v>2021</v>
      </c>
      <c r="D93" s="18"/>
      <c r="E93" s="7">
        <f>H22*D24</f>
        <v>12.5</v>
      </c>
      <c r="F93" s="7">
        <v>0</v>
      </c>
      <c r="G93" s="7">
        <v>0</v>
      </c>
      <c r="H93" s="7">
        <v>0</v>
      </c>
      <c r="I93" s="7">
        <v>0</v>
      </c>
      <c r="J93" s="7">
        <v>0</v>
      </c>
      <c r="K93" s="7"/>
      <c r="L93" s="7"/>
      <c r="M93" s="4">
        <f>M73</f>
        <v>2021</v>
      </c>
      <c r="N93" s="7"/>
      <c r="O93" s="7">
        <f t="shared" ref="O93" si="20">E93</f>
        <v>12.5</v>
      </c>
      <c r="P93" s="7">
        <f t="shared" ref="P93:P94" si="21">F93/(1+$G$40)</f>
        <v>0</v>
      </c>
      <c r="Q93" s="7">
        <f t="shared" ref="Q93:Q95" si="22">G93/(1+$H$40)^2</f>
        <v>0</v>
      </c>
      <c r="R93" s="7">
        <f t="shared" ref="R93:R95" si="23">H93/(1+$I$40)^3</f>
        <v>0</v>
      </c>
      <c r="S93" s="7">
        <f t="shared" ref="S93:S96" si="24">I93/(1+$J$40)^4</f>
        <v>0</v>
      </c>
      <c r="T93" s="7">
        <f t="shared" ref="T93:T96" si="25">J93/(1+$K$40)^5</f>
        <v>0</v>
      </c>
      <c r="W93" s="62"/>
    </row>
    <row r="94" spans="2:23" s="2" customFormat="1" x14ac:dyDescent="0.35">
      <c r="C94" s="4">
        <f>C74</f>
        <v>2022</v>
      </c>
      <c r="D94" s="18"/>
      <c r="E94" s="7"/>
      <c r="F94" s="7">
        <f>H22*D24</f>
        <v>12.5</v>
      </c>
      <c r="G94" s="7">
        <v>0</v>
      </c>
      <c r="H94" s="7">
        <v>0</v>
      </c>
      <c r="I94" s="7">
        <v>0</v>
      </c>
      <c r="J94" s="7">
        <v>0</v>
      </c>
      <c r="K94" s="7"/>
      <c r="L94" s="7"/>
      <c r="M94" s="4">
        <f>M74</f>
        <v>2022</v>
      </c>
      <c r="N94" s="7"/>
      <c r="O94" s="7"/>
      <c r="P94" s="7">
        <f t="shared" si="21"/>
        <v>12.254901960784313</v>
      </c>
      <c r="Q94" s="7">
        <f t="shared" si="22"/>
        <v>0</v>
      </c>
      <c r="R94" s="7">
        <f t="shared" si="23"/>
        <v>0</v>
      </c>
      <c r="S94" s="7">
        <f t="shared" si="24"/>
        <v>0</v>
      </c>
      <c r="T94" s="7">
        <f t="shared" si="25"/>
        <v>0</v>
      </c>
      <c r="W94" s="62" t="s">
        <v>248</v>
      </c>
    </row>
    <row r="95" spans="2:23" s="2" customFormat="1" x14ac:dyDescent="0.35">
      <c r="C95" s="4">
        <f>C75</f>
        <v>2023</v>
      </c>
      <c r="D95" s="18"/>
      <c r="E95" s="7"/>
      <c r="F95" s="7"/>
      <c r="G95" s="7">
        <f>H22*D24</f>
        <v>12.5</v>
      </c>
      <c r="H95" s="7">
        <v>0</v>
      </c>
      <c r="I95" s="7">
        <v>0</v>
      </c>
      <c r="J95" s="7">
        <v>0</v>
      </c>
      <c r="K95" s="7"/>
      <c r="L95" s="7"/>
      <c r="M95" s="4">
        <f>M75</f>
        <v>2023</v>
      </c>
      <c r="N95" s="7"/>
      <c r="O95" s="7"/>
      <c r="P95" s="7"/>
      <c r="Q95" s="7">
        <f t="shared" si="22"/>
        <v>12.014609765474818</v>
      </c>
      <c r="R95" s="7">
        <f t="shared" si="23"/>
        <v>0</v>
      </c>
      <c r="S95" s="7">
        <f t="shared" si="24"/>
        <v>0</v>
      </c>
      <c r="T95" s="7">
        <f t="shared" si="25"/>
        <v>0</v>
      </c>
      <c r="W95" s="62" t="s">
        <v>255</v>
      </c>
    </row>
    <row r="96" spans="2:23" s="2" customFormat="1" x14ac:dyDescent="0.35">
      <c r="C96" s="4">
        <f>C76</f>
        <v>2024</v>
      </c>
      <c r="D96" s="18"/>
      <c r="E96" s="7"/>
      <c r="F96" s="7"/>
      <c r="G96" s="7"/>
      <c r="H96" s="7">
        <f>H22*D24</f>
        <v>12.5</v>
      </c>
      <c r="I96" s="7">
        <v>0</v>
      </c>
      <c r="J96" s="7">
        <v>0</v>
      </c>
      <c r="K96" s="10" t="s">
        <v>4</v>
      </c>
      <c r="L96" s="7"/>
      <c r="M96" s="4">
        <f>M76</f>
        <v>2024</v>
      </c>
      <c r="N96" s="7"/>
      <c r="O96" s="7"/>
      <c r="P96" s="7"/>
      <c r="Q96" s="7"/>
      <c r="R96" s="7">
        <f>H96/(1+$I$40)^3</f>
        <v>11.779029181838057</v>
      </c>
      <c r="S96" s="7">
        <f t="shared" si="24"/>
        <v>0</v>
      </c>
      <c r="T96" s="7">
        <f t="shared" si="25"/>
        <v>0</v>
      </c>
      <c r="U96" s="10" t="s">
        <v>4</v>
      </c>
      <c r="W96" s="62" t="s">
        <v>242</v>
      </c>
    </row>
    <row r="97" spans="3:23" s="2" customFormat="1" x14ac:dyDescent="0.35">
      <c r="C97" s="5" t="s">
        <v>4</v>
      </c>
      <c r="D97" s="8">
        <f t="shared" ref="D97:J97" si="26">SUM(D92:D96)</f>
        <v>12.5</v>
      </c>
      <c r="E97" s="8">
        <f t="shared" si="26"/>
        <v>12.5</v>
      </c>
      <c r="F97" s="8">
        <f t="shared" si="26"/>
        <v>12.5</v>
      </c>
      <c r="G97" s="8">
        <f t="shared" si="26"/>
        <v>12.5</v>
      </c>
      <c r="H97" s="8">
        <f t="shared" si="26"/>
        <v>12.5</v>
      </c>
      <c r="I97" s="8">
        <f t="shared" si="26"/>
        <v>0</v>
      </c>
      <c r="J97" s="8">
        <f t="shared" si="26"/>
        <v>0</v>
      </c>
      <c r="K97" s="12">
        <f>SUM(D97:J97)</f>
        <v>62.5</v>
      </c>
      <c r="L97" s="7"/>
      <c r="M97" s="5" t="s">
        <v>4</v>
      </c>
      <c r="N97" s="8">
        <f t="shared" ref="N97:T97" si="27">SUM(N92:N96)</f>
        <v>12.5</v>
      </c>
      <c r="O97" s="8">
        <f t="shared" si="27"/>
        <v>12.5</v>
      </c>
      <c r="P97" s="8">
        <f t="shared" si="27"/>
        <v>12.254901960784313</v>
      </c>
      <c r="Q97" s="8">
        <f t="shared" si="27"/>
        <v>12.014609765474818</v>
      </c>
      <c r="R97" s="8">
        <f t="shared" si="27"/>
        <v>11.779029181838057</v>
      </c>
      <c r="S97" s="8">
        <f t="shared" si="27"/>
        <v>0</v>
      </c>
      <c r="T97" s="8">
        <f t="shared" si="27"/>
        <v>0</v>
      </c>
      <c r="U97" s="12">
        <f>SUM(N97:T97)</f>
        <v>61.048540908097181</v>
      </c>
      <c r="W97" s="62"/>
    </row>
    <row r="98" spans="3:23" s="2" customFormat="1" x14ac:dyDescent="0.35">
      <c r="C98" s="9"/>
      <c r="D98" s="7"/>
      <c r="E98" s="7"/>
      <c r="F98" s="7"/>
      <c r="G98" s="7"/>
      <c r="H98" s="7"/>
      <c r="I98" s="7"/>
      <c r="J98" s="7"/>
      <c r="K98" s="7"/>
      <c r="L98" s="7"/>
      <c r="M98" s="7"/>
      <c r="N98" s="7"/>
      <c r="U98" s="7"/>
      <c r="W98" s="62"/>
    </row>
    <row r="99" spans="3:23" s="2" customFormat="1" ht="33" customHeight="1" x14ac:dyDescent="0.35">
      <c r="C99" s="125" t="s">
        <v>446</v>
      </c>
      <c r="D99" s="125"/>
      <c r="E99" s="125"/>
      <c r="F99" s="125"/>
      <c r="G99" s="125"/>
      <c r="H99" s="125"/>
      <c r="I99" s="125"/>
      <c r="J99" s="125"/>
      <c r="K99" s="125"/>
      <c r="L99" s="7"/>
      <c r="M99" s="125" t="s">
        <v>447</v>
      </c>
      <c r="N99" s="125"/>
      <c r="O99" s="125"/>
      <c r="P99" s="125"/>
      <c r="Q99" s="125"/>
      <c r="R99" s="125"/>
      <c r="S99" s="125"/>
      <c r="T99" s="125"/>
      <c r="U99" s="125"/>
      <c r="W99" s="77"/>
    </row>
    <row r="100" spans="3:23" s="2" customFormat="1" x14ac:dyDescent="0.35">
      <c r="C100" s="4" t="s">
        <v>150</v>
      </c>
      <c r="D100" s="126" t="s">
        <v>0</v>
      </c>
      <c r="E100" s="126"/>
      <c r="F100" s="126"/>
      <c r="G100" s="126"/>
      <c r="H100" s="126"/>
      <c r="I100" s="126"/>
      <c r="J100" s="126"/>
      <c r="K100" s="7"/>
      <c r="L100" s="7"/>
      <c r="M100" s="4" t="s">
        <v>150</v>
      </c>
      <c r="N100" s="126" t="s">
        <v>0</v>
      </c>
      <c r="O100" s="126"/>
      <c r="P100" s="126"/>
      <c r="Q100" s="126"/>
      <c r="R100" s="126"/>
      <c r="S100" s="126"/>
      <c r="T100" s="126"/>
      <c r="U100" s="7"/>
      <c r="W100" s="62" t="s">
        <v>249</v>
      </c>
    </row>
    <row r="101" spans="3:23" s="2" customFormat="1" x14ac:dyDescent="0.35">
      <c r="C101" s="4" t="s">
        <v>1</v>
      </c>
      <c r="D101" s="5">
        <v>2020</v>
      </c>
      <c r="E101" s="5">
        <v>2021</v>
      </c>
      <c r="F101" s="5">
        <v>2022</v>
      </c>
      <c r="G101" s="5">
        <v>2023</v>
      </c>
      <c r="H101" s="5">
        <v>2024</v>
      </c>
      <c r="I101" s="5">
        <v>2025</v>
      </c>
      <c r="J101" s="5">
        <v>2026</v>
      </c>
      <c r="K101" s="7"/>
      <c r="L101" s="7"/>
      <c r="M101" s="4" t="s">
        <v>1</v>
      </c>
      <c r="N101" s="5">
        <v>2020</v>
      </c>
      <c r="O101" s="5">
        <v>2021</v>
      </c>
      <c r="P101" s="5">
        <v>2022</v>
      </c>
      <c r="Q101" s="5">
        <v>2023</v>
      </c>
      <c r="R101" s="5">
        <v>2024</v>
      </c>
      <c r="S101" s="5">
        <v>2025</v>
      </c>
      <c r="T101" s="5">
        <v>2026</v>
      </c>
      <c r="U101" s="7"/>
      <c r="W101" s="62" t="s">
        <v>448</v>
      </c>
    </row>
    <row r="102" spans="3:23" s="2" customFormat="1" x14ac:dyDescent="0.35">
      <c r="C102" s="4">
        <f>C92</f>
        <v>2020</v>
      </c>
      <c r="D102" s="7">
        <f>H22*D25</f>
        <v>12.5</v>
      </c>
      <c r="E102" s="7">
        <v>0</v>
      </c>
      <c r="F102" s="7">
        <v>0</v>
      </c>
      <c r="G102" s="7">
        <v>0</v>
      </c>
      <c r="H102" s="7">
        <v>0</v>
      </c>
      <c r="I102" s="7">
        <v>0</v>
      </c>
      <c r="J102" s="7">
        <v>0</v>
      </c>
      <c r="K102" s="7"/>
      <c r="L102" s="7"/>
      <c r="M102" s="4">
        <f>M92</f>
        <v>2020</v>
      </c>
      <c r="N102" s="7">
        <f>D102</f>
        <v>12.5</v>
      </c>
      <c r="O102" s="7">
        <f>E102</f>
        <v>0</v>
      </c>
      <c r="P102" s="7">
        <f>F102/(1+$G$40)^((12-$F$13)/12)</f>
        <v>0</v>
      </c>
      <c r="Q102" s="7">
        <f>G102/(1+$H$40)^((12-$F$13)/12+1)</f>
        <v>0</v>
      </c>
      <c r="R102" s="7">
        <f>H102/(1+$I$40)^((12-$F$13)/12+2)</f>
        <v>0</v>
      </c>
      <c r="S102" s="7">
        <v>0</v>
      </c>
      <c r="T102" s="7">
        <v>0</v>
      </c>
      <c r="U102" s="7"/>
      <c r="W102" s="62"/>
    </row>
    <row r="103" spans="3:23" s="2" customFormat="1" x14ac:dyDescent="0.35">
      <c r="C103" s="4">
        <f t="shared" ref="C103:C106" si="28">C93</f>
        <v>2021</v>
      </c>
      <c r="D103" s="18"/>
      <c r="E103" s="7">
        <f>H22*D25</f>
        <v>12.5</v>
      </c>
      <c r="F103" s="7">
        <v>0</v>
      </c>
      <c r="G103" s="7">
        <v>0</v>
      </c>
      <c r="H103" s="7">
        <v>0</v>
      </c>
      <c r="I103" s="7">
        <v>0</v>
      </c>
      <c r="J103" s="7">
        <v>0</v>
      </c>
      <c r="K103" s="7"/>
      <c r="L103" s="7"/>
      <c r="M103" s="4">
        <f t="shared" ref="M103:M106" si="29">M93</f>
        <v>2021</v>
      </c>
      <c r="N103" s="7"/>
      <c r="O103" s="7">
        <f>E103</f>
        <v>12.5</v>
      </c>
      <c r="P103" s="7">
        <f>F103/(1+$G$40)^((12-$F$13)/12)</f>
        <v>0</v>
      </c>
      <c r="Q103" s="7">
        <f>G103/(1+$H$40)^((12-$F$13)/12+1)</f>
        <v>0</v>
      </c>
      <c r="R103" s="7">
        <f>H103/(1+$I$40)^((12-$F$13)/12+2)</f>
        <v>0</v>
      </c>
      <c r="S103" s="7">
        <v>0</v>
      </c>
      <c r="T103" s="7">
        <v>0</v>
      </c>
      <c r="U103" s="7"/>
      <c r="W103" s="62" t="s">
        <v>250</v>
      </c>
    </row>
    <row r="104" spans="3:23" s="2" customFormat="1" x14ac:dyDescent="0.35">
      <c r="C104" s="4">
        <f t="shared" si="28"/>
        <v>2022</v>
      </c>
      <c r="D104" s="18"/>
      <c r="E104" s="7"/>
      <c r="F104" s="7">
        <f>H22*D25</f>
        <v>12.5</v>
      </c>
      <c r="G104" s="7">
        <v>0</v>
      </c>
      <c r="H104" s="7">
        <v>0</v>
      </c>
      <c r="I104" s="7">
        <v>0</v>
      </c>
      <c r="J104" s="7">
        <v>0</v>
      </c>
      <c r="K104" s="7"/>
      <c r="L104" s="7"/>
      <c r="M104" s="4">
        <f t="shared" si="29"/>
        <v>2022</v>
      </c>
      <c r="N104" s="7"/>
      <c r="O104" s="7"/>
      <c r="P104" s="7">
        <f>F104/(1+$G$40)^((12-$F$13)/12)</f>
        <v>12.254901960784313</v>
      </c>
      <c r="Q104" s="7">
        <f>G104/(1+$H$40)^((12-$F$13)/12+1)</f>
        <v>0</v>
      </c>
      <c r="R104" s="7">
        <f>H104/(1+$I$40)^((12-$F$13)/12+2)</f>
        <v>0</v>
      </c>
      <c r="S104" s="7">
        <v>0</v>
      </c>
      <c r="T104" s="7">
        <v>0</v>
      </c>
      <c r="U104" s="7"/>
      <c r="W104" s="62" t="s">
        <v>242</v>
      </c>
    </row>
    <row r="105" spans="3:23" s="2" customFormat="1" x14ac:dyDescent="0.35">
      <c r="C105" s="4">
        <f t="shared" si="28"/>
        <v>2023</v>
      </c>
      <c r="D105" s="18"/>
      <c r="E105" s="7"/>
      <c r="F105" s="7"/>
      <c r="G105" s="7">
        <f>H22*D25</f>
        <v>12.5</v>
      </c>
      <c r="H105" s="7">
        <v>0</v>
      </c>
      <c r="I105" s="7">
        <v>0</v>
      </c>
      <c r="J105" s="7">
        <v>0</v>
      </c>
      <c r="K105" s="7"/>
      <c r="L105" s="7"/>
      <c r="M105" s="4">
        <f t="shared" si="29"/>
        <v>2023</v>
      </c>
      <c r="N105" s="7"/>
      <c r="O105" s="7"/>
      <c r="P105" s="7"/>
      <c r="Q105" s="7">
        <f>G105/(1+$H$40)^((12-$F$13)/12+1)</f>
        <v>12.014609765474818</v>
      </c>
      <c r="R105" s="7">
        <f>H105/(1+$I$40)^((12-$F$13)/12+2)</f>
        <v>0</v>
      </c>
      <c r="S105" s="7">
        <v>0</v>
      </c>
      <c r="T105" s="7">
        <v>0</v>
      </c>
      <c r="U105" s="7"/>
      <c r="W105" s="62" t="s">
        <v>256</v>
      </c>
    </row>
    <row r="106" spans="3:23" s="2" customFormat="1" x14ac:dyDescent="0.35">
      <c r="C106" s="4">
        <f t="shared" si="28"/>
        <v>2024</v>
      </c>
      <c r="D106" s="18"/>
      <c r="E106" s="7"/>
      <c r="F106" s="7"/>
      <c r="G106" s="7"/>
      <c r="H106" s="7">
        <f>H22*D25</f>
        <v>12.5</v>
      </c>
      <c r="I106" s="7">
        <v>0</v>
      </c>
      <c r="J106" s="7">
        <v>0</v>
      </c>
      <c r="K106" s="10" t="s">
        <v>4</v>
      </c>
      <c r="L106" s="7"/>
      <c r="M106" s="4">
        <f t="shared" si="29"/>
        <v>2024</v>
      </c>
      <c r="N106" s="7"/>
      <c r="O106" s="7"/>
      <c r="P106" s="7"/>
      <c r="Q106" s="7"/>
      <c r="R106" s="7">
        <f>H106/(1+$I$40)^((12-$F$13)/12+2)</f>
        <v>11.779029181838057</v>
      </c>
      <c r="S106" s="7">
        <v>0</v>
      </c>
      <c r="T106" s="7">
        <v>0</v>
      </c>
      <c r="U106" s="10" t="s">
        <v>4</v>
      </c>
      <c r="W106" s="62"/>
    </row>
    <row r="107" spans="3:23" s="2" customFormat="1" x14ac:dyDescent="0.35">
      <c r="C107" s="5" t="s">
        <v>4</v>
      </c>
      <c r="D107" s="8">
        <f t="shared" ref="D107:J107" si="30">SUM(D102:D106)</f>
        <v>12.5</v>
      </c>
      <c r="E107" s="8">
        <f t="shared" si="30"/>
        <v>12.5</v>
      </c>
      <c r="F107" s="8">
        <f t="shared" si="30"/>
        <v>12.5</v>
      </c>
      <c r="G107" s="8">
        <f t="shared" si="30"/>
        <v>12.5</v>
      </c>
      <c r="H107" s="8">
        <f t="shared" si="30"/>
        <v>12.5</v>
      </c>
      <c r="I107" s="8">
        <f t="shared" si="30"/>
        <v>0</v>
      </c>
      <c r="J107" s="8">
        <f t="shared" si="30"/>
        <v>0</v>
      </c>
      <c r="K107" s="12">
        <f>SUM(D107:J107)</f>
        <v>62.5</v>
      </c>
      <c r="L107" s="7"/>
      <c r="M107" s="5" t="s">
        <v>4</v>
      </c>
      <c r="N107" s="8">
        <f t="shared" ref="N107:T107" si="31">SUM(N102:N106)</f>
        <v>12.5</v>
      </c>
      <c r="O107" s="8">
        <f t="shared" si="31"/>
        <v>12.5</v>
      </c>
      <c r="P107" s="8">
        <f t="shared" si="31"/>
        <v>12.254901960784313</v>
      </c>
      <c r="Q107" s="8">
        <f t="shared" si="31"/>
        <v>12.014609765474818</v>
      </c>
      <c r="R107" s="8">
        <f t="shared" si="31"/>
        <v>11.779029181838057</v>
      </c>
      <c r="S107" s="8">
        <f t="shared" si="31"/>
        <v>0</v>
      </c>
      <c r="T107" s="8">
        <f t="shared" si="31"/>
        <v>0</v>
      </c>
      <c r="U107" s="12">
        <f>SUM(N107:T107)</f>
        <v>61.048540908097181</v>
      </c>
      <c r="W107" s="62"/>
    </row>
    <row r="108" spans="3:23" s="2" customFormat="1" x14ac:dyDescent="0.35">
      <c r="C108" s="9"/>
      <c r="D108" s="7"/>
      <c r="E108" s="7"/>
      <c r="F108" s="7"/>
      <c r="G108" s="7"/>
      <c r="H108" s="7"/>
      <c r="I108" s="7"/>
      <c r="J108" s="7"/>
      <c r="K108" s="7"/>
      <c r="L108" s="7"/>
      <c r="M108" s="7"/>
      <c r="N108" s="7"/>
      <c r="U108" s="7"/>
      <c r="W108" s="62"/>
    </row>
    <row r="109" spans="3:23" s="2" customFormat="1" ht="32.4" customHeight="1" x14ac:dyDescent="0.35">
      <c r="C109" s="125" t="s">
        <v>449</v>
      </c>
      <c r="D109" s="125"/>
      <c r="E109" s="125"/>
      <c r="F109" s="125"/>
      <c r="G109" s="125"/>
      <c r="H109" s="125"/>
      <c r="I109" s="125"/>
      <c r="J109" s="125"/>
      <c r="K109" s="125"/>
      <c r="L109" s="7"/>
      <c r="M109" s="125" t="s">
        <v>450</v>
      </c>
      <c r="N109" s="125"/>
      <c r="O109" s="125"/>
      <c r="P109" s="125"/>
      <c r="Q109" s="125"/>
      <c r="R109" s="125"/>
      <c r="S109" s="125"/>
      <c r="T109" s="125"/>
      <c r="U109" s="125"/>
      <c r="W109" s="77"/>
    </row>
    <row r="110" spans="3:23" s="2" customFormat="1" x14ac:dyDescent="0.35">
      <c r="C110" s="4" t="s">
        <v>150</v>
      </c>
      <c r="D110" s="126" t="s">
        <v>0</v>
      </c>
      <c r="E110" s="126"/>
      <c r="F110" s="126"/>
      <c r="G110" s="126"/>
      <c r="H110" s="126"/>
      <c r="I110" s="126"/>
      <c r="J110" s="126"/>
      <c r="K110" s="7"/>
      <c r="L110" s="7"/>
      <c r="M110" s="4" t="s">
        <v>150</v>
      </c>
      <c r="N110" s="126" t="s">
        <v>0</v>
      </c>
      <c r="O110" s="126"/>
      <c r="P110" s="126"/>
      <c r="Q110" s="126"/>
      <c r="R110" s="126"/>
      <c r="S110" s="126"/>
      <c r="T110" s="126"/>
      <c r="U110" s="7"/>
      <c r="W110" s="62"/>
    </row>
    <row r="111" spans="3:23" s="2" customFormat="1" x14ac:dyDescent="0.35">
      <c r="C111" s="4" t="s">
        <v>1</v>
      </c>
      <c r="D111" s="5">
        <v>2020</v>
      </c>
      <c r="E111" s="5">
        <v>2021</v>
      </c>
      <c r="F111" s="5">
        <v>2022</v>
      </c>
      <c r="G111" s="5">
        <v>2023</v>
      </c>
      <c r="H111" s="5">
        <v>2024</v>
      </c>
      <c r="I111" s="5">
        <v>2025</v>
      </c>
      <c r="J111" s="5">
        <v>2026</v>
      </c>
      <c r="K111" s="7"/>
      <c r="L111" s="7"/>
      <c r="M111" s="4" t="s">
        <v>1</v>
      </c>
      <c r="N111" s="5">
        <v>2020</v>
      </c>
      <c r="O111" s="5">
        <v>2021</v>
      </c>
      <c r="P111" s="5">
        <v>2022</v>
      </c>
      <c r="Q111" s="5">
        <v>2023</v>
      </c>
      <c r="R111" s="5">
        <v>2024</v>
      </c>
      <c r="S111" s="5">
        <v>2025</v>
      </c>
      <c r="T111" s="5">
        <v>2026</v>
      </c>
      <c r="U111" s="7"/>
      <c r="W111" s="62" t="s">
        <v>251</v>
      </c>
    </row>
    <row r="112" spans="3:23" s="2" customFormat="1" x14ac:dyDescent="0.35">
      <c r="C112" s="4">
        <f>C102</f>
        <v>2020</v>
      </c>
      <c r="D112" s="7">
        <f>H32</f>
        <v>30</v>
      </c>
      <c r="E112" s="7">
        <v>0</v>
      </c>
      <c r="F112" s="7">
        <v>0</v>
      </c>
      <c r="G112" s="7">
        <v>0</v>
      </c>
      <c r="H112" s="7">
        <v>0</v>
      </c>
      <c r="I112" s="7">
        <v>0</v>
      </c>
      <c r="J112" s="7">
        <v>0</v>
      </c>
      <c r="K112" s="7"/>
      <c r="L112" s="7"/>
      <c r="M112" s="4">
        <f>M102</f>
        <v>2020</v>
      </c>
      <c r="N112" s="7">
        <f>D112</f>
        <v>30</v>
      </c>
      <c r="O112" s="7">
        <f>E112/(1+$G$40)</f>
        <v>0</v>
      </c>
      <c r="P112" s="7">
        <f>F112/(1+$H$40)^2</f>
        <v>0</v>
      </c>
      <c r="Q112" s="7">
        <f>G112/(1+$I$40)^3</f>
        <v>0</v>
      </c>
      <c r="R112" s="7">
        <f>H112/(1+$J$40)^4</f>
        <v>0</v>
      </c>
      <c r="S112" s="7">
        <f>I112/(1+$K$40)^5</f>
        <v>0</v>
      </c>
      <c r="T112" s="7">
        <f>J112/(1+$L$40)^6</f>
        <v>0</v>
      </c>
      <c r="U112" s="7"/>
      <c r="W112" s="62" t="s">
        <v>130</v>
      </c>
    </row>
    <row r="113" spans="3:23" s="2" customFormat="1" x14ac:dyDescent="0.35">
      <c r="C113" s="4">
        <f t="shared" ref="C113:C116" si="32">C103</f>
        <v>2021</v>
      </c>
      <c r="D113" s="18"/>
      <c r="E113" s="7">
        <v>0</v>
      </c>
      <c r="F113" s="7">
        <v>0</v>
      </c>
      <c r="G113" s="7">
        <v>0</v>
      </c>
      <c r="H113" s="7">
        <v>0</v>
      </c>
      <c r="I113" s="7">
        <v>0</v>
      </c>
      <c r="J113" s="7">
        <v>0</v>
      </c>
      <c r="K113" s="7"/>
      <c r="L113" s="7"/>
      <c r="M113" s="4">
        <f t="shared" ref="M113:M116" si="33">M103</f>
        <v>2021</v>
      </c>
      <c r="N113" s="7"/>
      <c r="O113" s="7">
        <f>E113/(1+$G$40)^((12-$F$13)/12)</f>
        <v>0</v>
      </c>
      <c r="P113" s="7">
        <f>F113/(1+$H$40)^2</f>
        <v>0</v>
      </c>
      <c r="Q113" s="7">
        <f>G113/(1+$I$40)^3</f>
        <v>0</v>
      </c>
      <c r="R113" s="7">
        <f>H113/(1+$J$40)^4</f>
        <v>0</v>
      </c>
      <c r="S113" s="7">
        <f t="shared" ref="S113:S116" si="34">I113/(1+$K$40)^5</f>
        <v>0</v>
      </c>
      <c r="T113" s="7">
        <f t="shared" ref="T113:T116" si="35">J113/(1+$L$40)^6</f>
        <v>0</v>
      </c>
      <c r="U113" s="7"/>
      <c r="W113" s="62"/>
    </row>
    <row r="114" spans="3:23" s="2" customFormat="1" x14ac:dyDescent="0.35">
      <c r="C114" s="4">
        <f t="shared" si="32"/>
        <v>2022</v>
      </c>
      <c r="D114" s="18"/>
      <c r="E114" s="7"/>
      <c r="F114" s="7">
        <f>E113</f>
        <v>0</v>
      </c>
      <c r="G114" s="7">
        <v>0</v>
      </c>
      <c r="H114" s="7">
        <v>0</v>
      </c>
      <c r="I114" s="7">
        <v>0</v>
      </c>
      <c r="J114" s="7">
        <v>0</v>
      </c>
      <c r="K114" s="7"/>
      <c r="L114" s="7"/>
      <c r="M114" s="4">
        <f t="shared" si="33"/>
        <v>2022</v>
      </c>
      <c r="N114" s="7"/>
      <c r="O114" s="7"/>
      <c r="P114" s="7">
        <f>F114/(1+$H$40)^((12-$F$13)/12+1)</f>
        <v>0</v>
      </c>
      <c r="Q114" s="7">
        <f>G114/(1+$I$40)^3</f>
        <v>0</v>
      </c>
      <c r="R114" s="7">
        <f>H114/(1+$J$40)^4</f>
        <v>0</v>
      </c>
      <c r="S114" s="7">
        <f t="shared" si="34"/>
        <v>0</v>
      </c>
      <c r="T114" s="7">
        <f t="shared" si="35"/>
        <v>0</v>
      </c>
      <c r="U114" s="7"/>
      <c r="W114" s="62" t="s">
        <v>252</v>
      </c>
    </row>
    <row r="115" spans="3:23" s="2" customFormat="1" x14ac:dyDescent="0.35">
      <c r="C115" s="4">
        <f t="shared" si="32"/>
        <v>2023</v>
      </c>
      <c r="D115" s="18"/>
      <c r="E115" s="7"/>
      <c r="F115" s="7"/>
      <c r="G115" s="7">
        <f>F114</f>
        <v>0</v>
      </c>
      <c r="H115" s="7">
        <v>0</v>
      </c>
      <c r="I115" s="7">
        <v>0</v>
      </c>
      <c r="J115" s="7">
        <v>0</v>
      </c>
      <c r="K115" s="7"/>
      <c r="L115" s="7"/>
      <c r="M115" s="4">
        <f t="shared" si="33"/>
        <v>2023</v>
      </c>
      <c r="N115" s="7"/>
      <c r="O115" s="7"/>
      <c r="P115" s="7"/>
      <c r="Q115" s="7">
        <f>G115/(1+$I$40)^((12-$F$13)/12+2)</f>
        <v>0</v>
      </c>
      <c r="R115" s="7">
        <f>H115/(1+$J$40)^4</f>
        <v>0</v>
      </c>
      <c r="S115" s="7">
        <f t="shared" si="34"/>
        <v>0</v>
      </c>
      <c r="T115" s="7">
        <f t="shared" si="35"/>
        <v>0</v>
      </c>
      <c r="U115" s="7"/>
      <c r="W115" s="62" t="s">
        <v>257</v>
      </c>
    </row>
    <row r="116" spans="3:23" s="2" customFormat="1" x14ac:dyDescent="0.35">
      <c r="C116" s="4">
        <f t="shared" si="32"/>
        <v>2024</v>
      </c>
      <c r="D116" s="18"/>
      <c r="E116" s="7"/>
      <c r="F116" s="7"/>
      <c r="G116" s="7"/>
      <c r="H116" s="7">
        <f>G115</f>
        <v>0</v>
      </c>
      <c r="I116" s="7">
        <v>0</v>
      </c>
      <c r="J116" s="7">
        <v>0</v>
      </c>
      <c r="K116" s="10" t="s">
        <v>4</v>
      </c>
      <c r="L116" s="7"/>
      <c r="M116" s="4">
        <f t="shared" si="33"/>
        <v>2024</v>
      </c>
      <c r="N116" s="7"/>
      <c r="O116" s="7"/>
      <c r="P116" s="7"/>
      <c r="Q116" s="7"/>
      <c r="R116" s="7">
        <f>H116/(1+$J$40)^((12-$F$13)/12+3)</f>
        <v>0</v>
      </c>
      <c r="S116" s="7">
        <f t="shared" si="34"/>
        <v>0</v>
      </c>
      <c r="T116" s="7">
        <f t="shared" si="35"/>
        <v>0</v>
      </c>
      <c r="U116" s="10" t="s">
        <v>4</v>
      </c>
      <c r="W116" s="62"/>
    </row>
    <row r="117" spans="3:23" s="2" customFormat="1" x14ac:dyDescent="0.35">
      <c r="C117" s="5" t="s">
        <v>4</v>
      </c>
      <c r="D117" s="8">
        <f t="shared" ref="D117:J117" si="36">SUM(D112:D116)</f>
        <v>30</v>
      </c>
      <c r="E117" s="8">
        <f t="shared" si="36"/>
        <v>0</v>
      </c>
      <c r="F117" s="8">
        <f t="shared" si="36"/>
        <v>0</v>
      </c>
      <c r="G117" s="8">
        <f t="shared" si="36"/>
        <v>0</v>
      </c>
      <c r="H117" s="8">
        <f t="shared" si="36"/>
        <v>0</v>
      </c>
      <c r="I117" s="8">
        <f t="shared" si="36"/>
        <v>0</v>
      </c>
      <c r="J117" s="8">
        <f t="shared" si="36"/>
        <v>0</v>
      </c>
      <c r="K117" s="12">
        <f>SUM(D117:J117)</f>
        <v>30</v>
      </c>
      <c r="L117" s="7"/>
      <c r="M117" s="5" t="s">
        <v>4</v>
      </c>
      <c r="N117" s="8">
        <f t="shared" ref="N117:T117" si="37">SUM(N112:N116)</f>
        <v>30</v>
      </c>
      <c r="O117" s="8">
        <f t="shared" si="37"/>
        <v>0</v>
      </c>
      <c r="P117" s="8">
        <f t="shared" si="37"/>
        <v>0</v>
      </c>
      <c r="Q117" s="8">
        <f t="shared" si="37"/>
        <v>0</v>
      </c>
      <c r="R117" s="8">
        <f t="shared" si="37"/>
        <v>0</v>
      </c>
      <c r="S117" s="8">
        <f t="shared" si="37"/>
        <v>0</v>
      </c>
      <c r="T117" s="8">
        <f t="shared" si="37"/>
        <v>0</v>
      </c>
      <c r="U117" s="12">
        <f>SUM(N117:T117)</f>
        <v>30</v>
      </c>
      <c r="W117" s="62"/>
    </row>
    <row r="118" spans="3:23" s="2" customFormat="1" x14ac:dyDescent="0.35">
      <c r="C118" s="9"/>
      <c r="D118" s="7"/>
      <c r="E118" s="7"/>
      <c r="F118" s="7"/>
      <c r="G118" s="7"/>
      <c r="H118" s="7"/>
      <c r="I118" s="7"/>
      <c r="J118" s="7"/>
      <c r="K118" s="7"/>
      <c r="L118" s="7"/>
      <c r="M118" s="7"/>
      <c r="N118" s="7"/>
      <c r="U118" s="7"/>
      <c r="W118" s="62"/>
    </row>
    <row r="119" spans="3:23" s="2" customFormat="1" ht="30.65" customHeight="1" x14ac:dyDescent="0.35">
      <c r="C119" s="125" t="s">
        <v>451</v>
      </c>
      <c r="D119" s="125"/>
      <c r="E119" s="125"/>
      <c r="F119" s="125"/>
      <c r="G119" s="125"/>
      <c r="H119" s="125"/>
      <c r="I119" s="125"/>
      <c r="J119" s="125"/>
      <c r="K119" s="125"/>
      <c r="L119" s="7"/>
      <c r="M119" s="125" t="s">
        <v>452</v>
      </c>
      <c r="N119" s="125"/>
      <c r="O119" s="125"/>
      <c r="P119" s="125"/>
      <c r="Q119" s="125"/>
      <c r="R119" s="125"/>
      <c r="S119" s="125"/>
      <c r="T119" s="125"/>
      <c r="U119" s="125"/>
      <c r="W119" s="77"/>
    </row>
    <row r="120" spans="3:23" s="2" customFormat="1" x14ac:dyDescent="0.35">
      <c r="C120" s="4" t="s">
        <v>150</v>
      </c>
      <c r="D120" s="126" t="s">
        <v>0</v>
      </c>
      <c r="E120" s="126"/>
      <c r="F120" s="126"/>
      <c r="G120" s="126"/>
      <c r="H120" s="126"/>
      <c r="I120" s="126"/>
      <c r="J120" s="126"/>
      <c r="K120" s="7"/>
      <c r="L120" s="7"/>
      <c r="M120" s="4" t="s">
        <v>150</v>
      </c>
      <c r="N120" s="126" t="s">
        <v>0</v>
      </c>
      <c r="O120" s="126"/>
      <c r="P120" s="126"/>
      <c r="Q120" s="126"/>
      <c r="R120" s="126"/>
      <c r="S120" s="126"/>
      <c r="T120" s="126"/>
      <c r="U120" s="7"/>
      <c r="W120" s="62"/>
    </row>
    <row r="121" spans="3:23" s="2" customFormat="1" x14ac:dyDescent="0.35">
      <c r="C121" s="4" t="s">
        <v>1</v>
      </c>
      <c r="D121" s="5">
        <v>2020</v>
      </c>
      <c r="E121" s="5">
        <v>2021</v>
      </c>
      <c r="F121" s="5">
        <v>2022</v>
      </c>
      <c r="G121" s="5">
        <v>2023</v>
      </c>
      <c r="H121" s="5">
        <v>2024</v>
      </c>
      <c r="I121" s="5">
        <v>2025</v>
      </c>
      <c r="J121" s="5">
        <v>2026</v>
      </c>
      <c r="K121" s="7"/>
      <c r="L121" s="7"/>
      <c r="M121" s="4" t="s">
        <v>1</v>
      </c>
      <c r="N121" s="5">
        <v>2020</v>
      </c>
      <c r="O121" s="5">
        <v>2021</v>
      </c>
      <c r="P121" s="5">
        <v>2022</v>
      </c>
      <c r="Q121" s="5">
        <v>2023</v>
      </c>
      <c r="R121" s="5">
        <v>2024</v>
      </c>
      <c r="S121" s="5">
        <v>2025</v>
      </c>
      <c r="T121" s="5">
        <v>2026</v>
      </c>
      <c r="U121" s="7"/>
      <c r="W121" s="62" t="s">
        <v>253</v>
      </c>
    </row>
    <row r="122" spans="3:23" s="2" customFormat="1" x14ac:dyDescent="0.35">
      <c r="C122" s="4">
        <f>C102</f>
        <v>2020</v>
      </c>
      <c r="D122" s="7">
        <f>D92+D102+D112</f>
        <v>55</v>
      </c>
      <c r="E122" s="7">
        <f t="shared" ref="E122:J126" si="38">E92+E102+E112</f>
        <v>0</v>
      </c>
      <c r="F122" s="7">
        <f t="shared" si="38"/>
        <v>0</v>
      </c>
      <c r="G122" s="7">
        <f t="shared" si="38"/>
        <v>0</v>
      </c>
      <c r="H122" s="7">
        <f t="shared" si="38"/>
        <v>0</v>
      </c>
      <c r="I122" s="7">
        <f t="shared" si="38"/>
        <v>0</v>
      </c>
      <c r="J122" s="7">
        <f t="shared" si="38"/>
        <v>0</v>
      </c>
      <c r="K122" s="7"/>
      <c r="L122" s="7"/>
      <c r="M122" s="4">
        <f>M102</f>
        <v>2020</v>
      </c>
      <c r="N122" s="7">
        <f>N92+N102+N112</f>
        <v>55</v>
      </c>
      <c r="O122" s="7">
        <f t="shared" ref="O122:T126" si="39">O92+O102+O112</f>
        <v>0</v>
      </c>
      <c r="P122" s="7">
        <f t="shared" si="39"/>
        <v>0</v>
      </c>
      <c r="Q122" s="7">
        <f t="shared" si="39"/>
        <v>0</v>
      </c>
      <c r="R122" s="7">
        <f t="shared" si="39"/>
        <v>0</v>
      </c>
      <c r="S122" s="7">
        <f t="shared" si="39"/>
        <v>0</v>
      </c>
      <c r="T122" s="7">
        <f t="shared" si="39"/>
        <v>0</v>
      </c>
      <c r="U122" s="7"/>
      <c r="W122" s="62" t="s">
        <v>258</v>
      </c>
    </row>
    <row r="123" spans="3:23" s="2" customFormat="1" x14ac:dyDescent="0.35">
      <c r="C123" s="4">
        <f t="shared" ref="C123:C126" si="40">C103</f>
        <v>2021</v>
      </c>
      <c r="D123" s="18"/>
      <c r="E123" s="7">
        <f t="shared" si="38"/>
        <v>25</v>
      </c>
      <c r="F123" s="7">
        <f t="shared" si="38"/>
        <v>0</v>
      </c>
      <c r="G123" s="7">
        <f t="shared" si="38"/>
        <v>0</v>
      </c>
      <c r="H123" s="7">
        <f t="shared" si="38"/>
        <v>0</v>
      </c>
      <c r="I123" s="7">
        <f t="shared" si="38"/>
        <v>0</v>
      </c>
      <c r="J123" s="7">
        <f t="shared" si="38"/>
        <v>0</v>
      </c>
      <c r="K123" s="7"/>
      <c r="L123" s="7"/>
      <c r="M123" s="4">
        <f t="shared" ref="M123:M126" si="41">M103</f>
        <v>2021</v>
      </c>
      <c r="N123" s="18"/>
      <c r="O123" s="7">
        <f t="shared" si="39"/>
        <v>25</v>
      </c>
      <c r="P123" s="7">
        <f t="shared" si="39"/>
        <v>0</v>
      </c>
      <c r="Q123" s="7">
        <f t="shared" si="39"/>
        <v>0</v>
      </c>
      <c r="R123" s="7">
        <f t="shared" si="39"/>
        <v>0</v>
      </c>
      <c r="S123" s="7">
        <f t="shared" si="39"/>
        <v>0</v>
      </c>
      <c r="T123" s="7">
        <f t="shared" si="39"/>
        <v>0</v>
      </c>
      <c r="U123" s="7"/>
      <c r="W123" s="62"/>
    </row>
    <row r="124" spans="3:23" s="2" customFormat="1" x14ac:dyDescent="0.35">
      <c r="C124" s="4">
        <f t="shared" si="40"/>
        <v>2022</v>
      </c>
      <c r="D124" s="18"/>
      <c r="E124" s="7"/>
      <c r="F124" s="7">
        <f t="shared" si="38"/>
        <v>25</v>
      </c>
      <c r="G124" s="7">
        <f t="shared" si="38"/>
        <v>0</v>
      </c>
      <c r="H124" s="7">
        <f t="shared" si="38"/>
        <v>0</v>
      </c>
      <c r="I124" s="7">
        <f t="shared" si="38"/>
        <v>0</v>
      </c>
      <c r="J124" s="7">
        <f t="shared" si="38"/>
        <v>0</v>
      </c>
      <c r="K124" s="7"/>
      <c r="L124" s="7"/>
      <c r="M124" s="4">
        <f t="shared" si="41"/>
        <v>2022</v>
      </c>
      <c r="N124" s="18"/>
      <c r="O124" s="7"/>
      <c r="P124" s="7">
        <f t="shared" si="39"/>
        <v>24.509803921568626</v>
      </c>
      <c r="Q124" s="7">
        <f t="shared" si="39"/>
        <v>0</v>
      </c>
      <c r="R124" s="7">
        <f t="shared" si="39"/>
        <v>0</v>
      </c>
      <c r="S124" s="7">
        <f t="shared" si="39"/>
        <v>0</v>
      </c>
      <c r="T124" s="7">
        <f t="shared" si="39"/>
        <v>0</v>
      </c>
      <c r="U124" s="7"/>
      <c r="W124" s="62" t="s">
        <v>254</v>
      </c>
    </row>
    <row r="125" spans="3:23" s="2" customFormat="1" x14ac:dyDescent="0.35">
      <c r="C125" s="4">
        <f t="shared" si="40"/>
        <v>2023</v>
      </c>
      <c r="D125" s="18"/>
      <c r="E125" s="7"/>
      <c r="F125" s="7"/>
      <c r="G125" s="7">
        <f t="shared" si="38"/>
        <v>25</v>
      </c>
      <c r="H125" s="7">
        <f t="shared" si="38"/>
        <v>0</v>
      </c>
      <c r="I125" s="7">
        <f t="shared" si="38"/>
        <v>0</v>
      </c>
      <c r="J125" s="7">
        <f t="shared" si="38"/>
        <v>0</v>
      </c>
      <c r="K125" s="7"/>
      <c r="L125" s="7"/>
      <c r="M125" s="4">
        <f t="shared" si="41"/>
        <v>2023</v>
      </c>
      <c r="N125" s="18"/>
      <c r="O125" s="7"/>
      <c r="P125" s="7"/>
      <c r="Q125" s="7">
        <f t="shared" si="39"/>
        <v>24.029219530949636</v>
      </c>
      <c r="R125" s="7">
        <f t="shared" si="39"/>
        <v>0</v>
      </c>
      <c r="S125" s="7">
        <f t="shared" si="39"/>
        <v>0</v>
      </c>
      <c r="T125" s="7">
        <f t="shared" si="39"/>
        <v>0</v>
      </c>
      <c r="U125" s="7"/>
      <c r="W125" s="62" t="s">
        <v>259</v>
      </c>
    </row>
    <row r="126" spans="3:23" s="2" customFormat="1" x14ac:dyDescent="0.35">
      <c r="C126" s="4">
        <f t="shared" si="40"/>
        <v>2024</v>
      </c>
      <c r="D126" s="18"/>
      <c r="E126" s="7"/>
      <c r="F126" s="7"/>
      <c r="G126" s="7"/>
      <c r="H126" s="7">
        <f t="shared" si="38"/>
        <v>25</v>
      </c>
      <c r="I126" s="7">
        <f t="shared" si="38"/>
        <v>0</v>
      </c>
      <c r="J126" s="7">
        <f t="shared" si="38"/>
        <v>0</v>
      </c>
      <c r="K126" s="10" t="s">
        <v>4</v>
      </c>
      <c r="L126" s="7"/>
      <c r="M126" s="4">
        <f t="shared" si="41"/>
        <v>2024</v>
      </c>
      <c r="N126" s="18"/>
      <c r="O126" s="7"/>
      <c r="P126" s="7"/>
      <c r="Q126" s="7"/>
      <c r="R126" s="7">
        <f t="shared" si="39"/>
        <v>23.558058363676114</v>
      </c>
      <c r="S126" s="7">
        <f t="shared" si="39"/>
        <v>0</v>
      </c>
      <c r="T126" s="7">
        <f t="shared" si="39"/>
        <v>0</v>
      </c>
      <c r="U126" s="10" t="s">
        <v>4</v>
      </c>
      <c r="W126" s="62"/>
    </row>
    <row r="127" spans="3:23" s="2" customFormat="1" x14ac:dyDescent="0.35">
      <c r="C127" s="5" t="s">
        <v>4</v>
      </c>
      <c r="D127" s="8">
        <f t="shared" ref="D127:J127" si="42">SUM(D122:D126)</f>
        <v>55</v>
      </c>
      <c r="E127" s="8">
        <f t="shared" si="42"/>
        <v>25</v>
      </c>
      <c r="F127" s="8">
        <f t="shared" si="42"/>
        <v>25</v>
      </c>
      <c r="G127" s="8">
        <f t="shared" si="42"/>
        <v>25</v>
      </c>
      <c r="H127" s="8">
        <f t="shared" si="42"/>
        <v>25</v>
      </c>
      <c r="I127" s="8">
        <f t="shared" si="42"/>
        <v>0</v>
      </c>
      <c r="J127" s="8">
        <f t="shared" si="42"/>
        <v>0</v>
      </c>
      <c r="K127" s="12">
        <f>SUM(D127:J127)</f>
        <v>155</v>
      </c>
      <c r="L127" s="7"/>
      <c r="M127" s="5" t="s">
        <v>4</v>
      </c>
      <c r="N127" s="8">
        <f t="shared" ref="N127:T127" si="43">SUM(N122:N126)</f>
        <v>55</v>
      </c>
      <c r="O127" s="8">
        <f t="shared" si="43"/>
        <v>25</v>
      </c>
      <c r="P127" s="8">
        <f t="shared" si="43"/>
        <v>24.509803921568626</v>
      </c>
      <c r="Q127" s="8">
        <f t="shared" si="43"/>
        <v>24.029219530949636</v>
      </c>
      <c r="R127" s="8">
        <f t="shared" si="43"/>
        <v>23.558058363676114</v>
      </c>
      <c r="S127" s="8">
        <f t="shared" si="43"/>
        <v>0</v>
      </c>
      <c r="T127" s="8">
        <f t="shared" si="43"/>
        <v>0</v>
      </c>
      <c r="U127" s="12">
        <f>SUM(N127:T127)</f>
        <v>152.09708181619436</v>
      </c>
      <c r="W127" s="62"/>
    </row>
    <row r="128" spans="3:23" s="64" customFormat="1" x14ac:dyDescent="0.35">
      <c r="C128" s="69"/>
      <c r="D128" s="67"/>
      <c r="E128" s="67"/>
      <c r="F128" s="67"/>
      <c r="G128" s="67"/>
      <c r="H128" s="67"/>
      <c r="I128" s="67"/>
      <c r="J128" s="67"/>
      <c r="K128" s="67"/>
      <c r="L128" s="70"/>
      <c r="M128" s="67"/>
      <c r="W128" s="66"/>
    </row>
    <row r="129" spans="2:23" s="2" customFormat="1" ht="30.65" customHeight="1" x14ac:dyDescent="0.35">
      <c r="B129" s="72" t="s">
        <v>37</v>
      </c>
      <c r="C129" s="125" t="s">
        <v>453</v>
      </c>
      <c r="D129" s="125"/>
      <c r="E129" s="125"/>
      <c r="F129" s="125"/>
      <c r="G129" s="125"/>
      <c r="H129" s="125"/>
      <c r="I129" s="125"/>
      <c r="J129" s="125"/>
      <c r="K129" s="125"/>
      <c r="L129" s="10"/>
      <c r="M129" s="125" t="s">
        <v>454</v>
      </c>
      <c r="N129" s="125"/>
      <c r="O129" s="125"/>
      <c r="P129" s="125"/>
      <c r="Q129" s="125"/>
      <c r="R129" s="125"/>
      <c r="S129" s="125"/>
      <c r="T129" s="125"/>
      <c r="U129" s="125"/>
      <c r="W129" s="62"/>
    </row>
    <row r="130" spans="2:23" s="2" customFormat="1" x14ac:dyDescent="0.35">
      <c r="C130" s="4" t="s">
        <v>110</v>
      </c>
      <c r="D130" s="126" t="s">
        <v>0</v>
      </c>
      <c r="E130" s="126"/>
      <c r="F130" s="126"/>
      <c r="G130" s="126"/>
      <c r="H130" s="126"/>
      <c r="I130" s="126"/>
      <c r="J130" s="126"/>
      <c r="L130" s="10"/>
      <c r="M130" s="4" t="s">
        <v>110</v>
      </c>
      <c r="N130" s="126" t="s">
        <v>0</v>
      </c>
      <c r="O130" s="126"/>
      <c r="P130" s="126"/>
      <c r="Q130" s="126"/>
      <c r="R130" s="126"/>
      <c r="S130" s="126"/>
      <c r="T130" s="126"/>
      <c r="W130" s="62"/>
    </row>
    <row r="131" spans="2:23" s="2" customFormat="1" x14ac:dyDescent="0.35">
      <c r="C131" s="4" t="s">
        <v>1</v>
      </c>
      <c r="D131" s="5">
        <v>2020</v>
      </c>
      <c r="E131" s="5">
        <v>2021</v>
      </c>
      <c r="F131" s="5">
        <v>2022</v>
      </c>
      <c r="G131" s="5">
        <v>2023</v>
      </c>
      <c r="H131" s="5">
        <v>2024</v>
      </c>
      <c r="I131" s="5">
        <v>2025</v>
      </c>
      <c r="J131" s="5">
        <v>2026</v>
      </c>
      <c r="K131" s="6"/>
      <c r="L131" s="10"/>
      <c r="M131" s="4" t="s">
        <v>1</v>
      </c>
      <c r="N131" s="5">
        <v>2020</v>
      </c>
      <c r="O131" s="5">
        <v>2021</v>
      </c>
      <c r="P131" s="5">
        <v>2022</v>
      </c>
      <c r="Q131" s="5">
        <v>2023</v>
      </c>
      <c r="R131" s="5">
        <v>2024</v>
      </c>
      <c r="S131" s="5">
        <v>2025</v>
      </c>
      <c r="T131" s="5">
        <v>2026</v>
      </c>
      <c r="U131" s="6"/>
      <c r="W131" s="62" t="s">
        <v>260</v>
      </c>
    </row>
    <row r="132" spans="2:23" s="2" customFormat="1" x14ac:dyDescent="0.35">
      <c r="C132" s="4">
        <f>C122</f>
        <v>2020</v>
      </c>
      <c r="D132" s="7">
        <f>D92/3</f>
        <v>4.166666666666667</v>
      </c>
      <c r="E132" s="7">
        <f>D132</f>
        <v>4.166666666666667</v>
      </c>
      <c r="F132" s="7">
        <f>E132</f>
        <v>4.166666666666667</v>
      </c>
      <c r="G132" s="7">
        <v>0</v>
      </c>
      <c r="H132" s="7">
        <v>0</v>
      </c>
      <c r="I132" s="7">
        <v>0</v>
      </c>
      <c r="J132" s="7">
        <v>0</v>
      </c>
      <c r="K132" s="6"/>
      <c r="L132" s="10"/>
      <c r="M132" s="4">
        <f>M122</f>
        <v>2020</v>
      </c>
      <c r="N132" s="7">
        <f>N92/3</f>
        <v>4.166666666666667</v>
      </c>
      <c r="O132" s="7">
        <f>N132</f>
        <v>4.166666666666667</v>
      </c>
      <c r="P132" s="7">
        <f>O132</f>
        <v>4.166666666666667</v>
      </c>
      <c r="Q132" s="7">
        <v>0</v>
      </c>
      <c r="R132" s="7">
        <v>0</v>
      </c>
      <c r="S132" s="7">
        <v>0</v>
      </c>
      <c r="T132" s="7">
        <v>0</v>
      </c>
      <c r="U132" s="6"/>
      <c r="W132" s="62" t="s">
        <v>266</v>
      </c>
    </row>
    <row r="133" spans="2:23" s="2" customFormat="1" x14ac:dyDescent="0.35">
      <c r="C133" s="4">
        <f t="shared" ref="C133:C136" si="44">C123</f>
        <v>2021</v>
      </c>
      <c r="D133" s="18"/>
      <c r="E133" s="7">
        <f>E93/3</f>
        <v>4.166666666666667</v>
      </c>
      <c r="F133" s="7">
        <f>E133</f>
        <v>4.166666666666667</v>
      </c>
      <c r="G133" s="7">
        <f>F133</f>
        <v>4.166666666666667</v>
      </c>
      <c r="H133" s="7">
        <v>0</v>
      </c>
      <c r="I133" s="7">
        <v>0</v>
      </c>
      <c r="J133" s="7">
        <v>0</v>
      </c>
      <c r="K133" s="6"/>
      <c r="L133" s="10"/>
      <c r="M133" s="4">
        <f t="shared" ref="M133:M136" si="45">M123</f>
        <v>2021</v>
      </c>
      <c r="N133" s="18"/>
      <c r="O133" s="7">
        <f>O93/3</f>
        <v>4.166666666666667</v>
      </c>
      <c r="P133" s="7">
        <f>O133</f>
        <v>4.166666666666667</v>
      </c>
      <c r="Q133" s="7">
        <f>P133</f>
        <v>4.166666666666667</v>
      </c>
      <c r="R133" s="7">
        <v>0</v>
      </c>
      <c r="S133" s="7">
        <v>0</v>
      </c>
      <c r="T133" s="7">
        <v>0</v>
      </c>
      <c r="U133" s="6"/>
      <c r="W133" s="62"/>
    </row>
    <row r="134" spans="2:23" s="2" customFormat="1" x14ac:dyDescent="0.35">
      <c r="C134" s="4">
        <f t="shared" si="44"/>
        <v>2022</v>
      </c>
      <c r="D134" s="18"/>
      <c r="E134" s="18"/>
      <c r="F134" s="7">
        <f>F94/3</f>
        <v>4.166666666666667</v>
      </c>
      <c r="G134" s="7">
        <f>F134</f>
        <v>4.166666666666667</v>
      </c>
      <c r="H134" s="7">
        <f>G134</f>
        <v>4.166666666666667</v>
      </c>
      <c r="I134" s="7">
        <v>0</v>
      </c>
      <c r="J134" s="7">
        <v>0</v>
      </c>
      <c r="K134" s="6"/>
      <c r="L134" s="10"/>
      <c r="M134" s="4">
        <f t="shared" si="45"/>
        <v>2022</v>
      </c>
      <c r="N134" s="18"/>
      <c r="O134" s="18"/>
      <c r="P134" s="7">
        <f>P94/3</f>
        <v>4.0849673202614376</v>
      </c>
      <c r="Q134" s="7">
        <f>P134</f>
        <v>4.0849673202614376</v>
      </c>
      <c r="R134" s="7">
        <f>Q134</f>
        <v>4.0849673202614376</v>
      </c>
      <c r="S134" s="7">
        <v>0</v>
      </c>
      <c r="T134" s="7">
        <v>0</v>
      </c>
      <c r="U134" s="6"/>
      <c r="W134" s="62" t="s">
        <v>261</v>
      </c>
    </row>
    <row r="135" spans="2:23" s="2" customFormat="1" x14ac:dyDescent="0.35">
      <c r="C135" s="4">
        <f t="shared" si="44"/>
        <v>2023</v>
      </c>
      <c r="D135" s="18"/>
      <c r="E135" s="18"/>
      <c r="F135" s="18"/>
      <c r="G135" s="7">
        <f>G95/3</f>
        <v>4.166666666666667</v>
      </c>
      <c r="H135" s="7">
        <f>G135</f>
        <v>4.166666666666667</v>
      </c>
      <c r="I135" s="7">
        <f>H135</f>
        <v>4.166666666666667</v>
      </c>
      <c r="J135" s="7">
        <v>0</v>
      </c>
      <c r="K135" s="6"/>
      <c r="L135" s="10"/>
      <c r="M135" s="4">
        <f t="shared" si="45"/>
        <v>2023</v>
      </c>
      <c r="N135" s="18"/>
      <c r="O135" s="18"/>
      <c r="P135" s="18"/>
      <c r="Q135" s="7">
        <f>Q95/3</f>
        <v>4.0048699218249393</v>
      </c>
      <c r="R135" s="7">
        <f>Q135</f>
        <v>4.0048699218249393</v>
      </c>
      <c r="S135" s="7">
        <f>R135</f>
        <v>4.0048699218249393</v>
      </c>
      <c r="T135" s="7">
        <v>0</v>
      </c>
      <c r="U135" s="6"/>
      <c r="W135" s="62" t="s">
        <v>267</v>
      </c>
    </row>
    <row r="136" spans="2:23" s="2" customFormat="1" x14ac:dyDescent="0.35">
      <c r="C136" s="4">
        <f t="shared" si="44"/>
        <v>2024</v>
      </c>
      <c r="D136" s="18"/>
      <c r="E136" s="18"/>
      <c r="F136" s="18"/>
      <c r="G136" s="18"/>
      <c r="H136" s="7">
        <f>H96/3</f>
        <v>4.166666666666667</v>
      </c>
      <c r="I136" s="7">
        <f>H136</f>
        <v>4.166666666666667</v>
      </c>
      <c r="J136" s="7">
        <f>I136</f>
        <v>4.166666666666667</v>
      </c>
      <c r="K136" s="10" t="s">
        <v>4</v>
      </c>
      <c r="L136" s="10"/>
      <c r="M136" s="4">
        <f t="shared" si="45"/>
        <v>2024</v>
      </c>
      <c r="N136" s="18"/>
      <c r="O136" s="18"/>
      <c r="P136" s="18"/>
      <c r="Q136" s="18"/>
      <c r="R136" s="7">
        <f>R96/3</f>
        <v>3.9263430606126857</v>
      </c>
      <c r="S136" s="7">
        <f>R136</f>
        <v>3.9263430606126857</v>
      </c>
      <c r="T136" s="7">
        <f>S136</f>
        <v>3.9263430606126857</v>
      </c>
      <c r="U136" s="10" t="s">
        <v>4</v>
      </c>
      <c r="W136" s="62" t="s">
        <v>167</v>
      </c>
    </row>
    <row r="137" spans="2:23" s="2" customFormat="1" x14ac:dyDescent="0.35">
      <c r="C137" s="5" t="s">
        <v>4</v>
      </c>
      <c r="D137" s="21">
        <f t="shared" ref="D137:J137" si="46">SUM(D132:D136)</f>
        <v>4.166666666666667</v>
      </c>
      <c r="E137" s="21">
        <f t="shared" si="46"/>
        <v>8.3333333333333339</v>
      </c>
      <c r="F137" s="21">
        <f t="shared" si="46"/>
        <v>12.5</v>
      </c>
      <c r="G137" s="21">
        <f t="shared" si="46"/>
        <v>12.5</v>
      </c>
      <c r="H137" s="21">
        <f t="shared" si="46"/>
        <v>12.5</v>
      </c>
      <c r="I137" s="21">
        <f t="shared" si="46"/>
        <v>8.3333333333333339</v>
      </c>
      <c r="J137" s="21">
        <f t="shared" si="46"/>
        <v>4.166666666666667</v>
      </c>
      <c r="K137" s="12">
        <f>SUM(D137:J137)</f>
        <v>62.5</v>
      </c>
      <c r="L137" s="10"/>
      <c r="M137" s="5" t="s">
        <v>4</v>
      </c>
      <c r="N137" s="21">
        <f t="shared" ref="N137:T137" si="47">SUM(N132:N136)</f>
        <v>4.166666666666667</v>
      </c>
      <c r="O137" s="21">
        <f t="shared" si="47"/>
        <v>8.3333333333333339</v>
      </c>
      <c r="P137" s="21">
        <f t="shared" si="47"/>
        <v>12.418300653594772</v>
      </c>
      <c r="Q137" s="21">
        <f t="shared" si="47"/>
        <v>12.256503908753045</v>
      </c>
      <c r="R137" s="21">
        <f t="shared" si="47"/>
        <v>12.016180302699063</v>
      </c>
      <c r="S137" s="21">
        <f t="shared" si="47"/>
        <v>7.931212982437625</v>
      </c>
      <c r="T137" s="21">
        <f t="shared" si="47"/>
        <v>3.9263430606126857</v>
      </c>
      <c r="U137" s="12">
        <f>SUM(N137:T137)</f>
        <v>61.048540908097188</v>
      </c>
      <c r="W137" s="62"/>
    </row>
    <row r="138" spans="2:23" s="2" customFormat="1" x14ac:dyDescent="0.35">
      <c r="C138" s="6"/>
      <c r="D138" s="6"/>
      <c r="E138" s="6"/>
      <c r="F138" s="6"/>
      <c r="G138" s="6"/>
      <c r="H138" s="6"/>
      <c r="I138" s="6"/>
      <c r="J138" s="6"/>
      <c r="K138" s="6"/>
      <c r="L138" s="10"/>
      <c r="M138" s="6"/>
      <c r="W138" s="62"/>
    </row>
    <row r="139" spans="2:23" s="2" customFormat="1" ht="30" customHeight="1" x14ac:dyDescent="0.35">
      <c r="C139" s="125" t="s">
        <v>455</v>
      </c>
      <c r="D139" s="125"/>
      <c r="E139" s="125"/>
      <c r="F139" s="125"/>
      <c r="G139" s="125"/>
      <c r="H139" s="125"/>
      <c r="I139" s="125"/>
      <c r="J139" s="125"/>
      <c r="K139" s="125"/>
      <c r="L139" s="10"/>
      <c r="M139" s="125" t="s">
        <v>456</v>
      </c>
      <c r="N139" s="125"/>
      <c r="O139" s="125"/>
      <c r="P139" s="125"/>
      <c r="Q139" s="125"/>
      <c r="R139" s="125"/>
      <c r="S139" s="125"/>
      <c r="T139" s="125"/>
      <c r="U139" s="125"/>
      <c r="W139" s="77"/>
    </row>
    <row r="140" spans="2:23" s="2" customFormat="1" x14ac:dyDescent="0.35">
      <c r="C140" s="4" t="s">
        <v>110</v>
      </c>
      <c r="D140" s="126" t="s">
        <v>0</v>
      </c>
      <c r="E140" s="126"/>
      <c r="F140" s="126"/>
      <c r="G140" s="126"/>
      <c r="H140" s="126"/>
      <c r="I140" s="126"/>
      <c r="J140" s="126"/>
      <c r="L140" s="10"/>
      <c r="M140" s="4" t="s">
        <v>110</v>
      </c>
      <c r="N140" s="126" t="s">
        <v>0</v>
      </c>
      <c r="O140" s="126"/>
      <c r="P140" s="126"/>
      <c r="Q140" s="126"/>
      <c r="R140" s="126"/>
      <c r="S140" s="126"/>
      <c r="T140" s="126"/>
      <c r="W140" s="62" t="s">
        <v>262</v>
      </c>
    </row>
    <row r="141" spans="2:23" s="2" customFormat="1" x14ac:dyDescent="0.35">
      <c r="C141" s="4" t="s">
        <v>1</v>
      </c>
      <c r="D141" s="5">
        <v>2020</v>
      </c>
      <c r="E141" s="5">
        <v>2021</v>
      </c>
      <c r="F141" s="5">
        <v>2022</v>
      </c>
      <c r="G141" s="5">
        <v>2023</v>
      </c>
      <c r="H141" s="5">
        <v>2024</v>
      </c>
      <c r="I141" s="5">
        <v>2025</v>
      </c>
      <c r="J141" s="5">
        <v>2026</v>
      </c>
      <c r="K141" s="6"/>
      <c r="L141" s="10"/>
      <c r="M141" s="4" t="s">
        <v>1</v>
      </c>
      <c r="N141" s="5">
        <v>2020</v>
      </c>
      <c r="O141" s="5">
        <v>2021</v>
      </c>
      <c r="P141" s="5">
        <v>2022</v>
      </c>
      <c r="Q141" s="5">
        <v>2023</v>
      </c>
      <c r="R141" s="5">
        <v>2024</v>
      </c>
      <c r="S141" s="5">
        <v>2025</v>
      </c>
      <c r="T141" s="5">
        <v>2026</v>
      </c>
      <c r="U141" s="6"/>
      <c r="W141" s="62" t="s">
        <v>268</v>
      </c>
    </row>
    <row r="142" spans="2:23" s="2" customFormat="1" x14ac:dyDescent="0.35">
      <c r="C142" s="4">
        <f>C132</f>
        <v>2020</v>
      </c>
      <c r="D142" s="7">
        <f>D102/3</f>
        <v>4.166666666666667</v>
      </c>
      <c r="E142" s="7">
        <f>D142</f>
        <v>4.166666666666667</v>
      </c>
      <c r="F142" s="7">
        <f>E142</f>
        <v>4.166666666666667</v>
      </c>
      <c r="G142" s="7">
        <v>0</v>
      </c>
      <c r="H142" s="7">
        <v>0</v>
      </c>
      <c r="I142" s="7">
        <v>0</v>
      </c>
      <c r="J142" s="7">
        <v>0</v>
      </c>
      <c r="K142" s="6"/>
      <c r="L142" s="10"/>
      <c r="M142" s="4">
        <f>C142</f>
        <v>2020</v>
      </c>
      <c r="N142" s="7">
        <f>N102/3</f>
        <v>4.166666666666667</v>
      </c>
      <c r="O142" s="7">
        <f>N142</f>
        <v>4.166666666666667</v>
      </c>
      <c r="P142" s="7">
        <f>O142</f>
        <v>4.166666666666667</v>
      </c>
      <c r="Q142" s="7">
        <v>0</v>
      </c>
      <c r="R142" s="7">
        <v>0</v>
      </c>
      <c r="S142" s="7">
        <v>0</v>
      </c>
      <c r="T142" s="7">
        <v>0</v>
      </c>
      <c r="U142" s="6"/>
      <c r="W142" s="62"/>
    </row>
    <row r="143" spans="2:23" s="2" customFormat="1" x14ac:dyDescent="0.35">
      <c r="C143" s="4">
        <f>C133</f>
        <v>2021</v>
      </c>
      <c r="D143" s="18"/>
      <c r="E143" s="7">
        <f>E103/3</f>
        <v>4.166666666666667</v>
      </c>
      <c r="F143" s="7">
        <f>E143</f>
        <v>4.166666666666667</v>
      </c>
      <c r="G143" s="7">
        <f>F143</f>
        <v>4.166666666666667</v>
      </c>
      <c r="H143" s="7">
        <v>0</v>
      </c>
      <c r="I143" s="7">
        <v>0</v>
      </c>
      <c r="J143" s="7">
        <v>0</v>
      </c>
      <c r="K143" s="6"/>
      <c r="L143" s="10"/>
      <c r="M143" s="4">
        <f t="shared" ref="M143:M146" si="48">C143</f>
        <v>2021</v>
      </c>
      <c r="N143" s="18"/>
      <c r="O143" s="7">
        <f>O103/3</f>
        <v>4.166666666666667</v>
      </c>
      <c r="P143" s="7">
        <f>O143</f>
        <v>4.166666666666667</v>
      </c>
      <c r="Q143" s="7">
        <f>P143</f>
        <v>4.166666666666667</v>
      </c>
      <c r="R143" s="7">
        <v>0</v>
      </c>
      <c r="S143" s="7">
        <v>0</v>
      </c>
      <c r="T143" s="7">
        <v>0</v>
      </c>
      <c r="U143" s="6"/>
      <c r="W143" s="62" t="s">
        <v>263</v>
      </c>
    </row>
    <row r="144" spans="2:23" s="2" customFormat="1" x14ac:dyDescent="0.35">
      <c r="C144" s="4">
        <f t="shared" ref="C144:C146" si="49">C134</f>
        <v>2022</v>
      </c>
      <c r="D144" s="18"/>
      <c r="E144" s="18"/>
      <c r="F144" s="7">
        <f>F104/3</f>
        <v>4.166666666666667</v>
      </c>
      <c r="G144" s="7">
        <f>F144</f>
        <v>4.166666666666667</v>
      </c>
      <c r="H144" s="7">
        <f>G144</f>
        <v>4.166666666666667</v>
      </c>
      <c r="I144" s="7">
        <v>0</v>
      </c>
      <c r="J144" s="7">
        <v>0</v>
      </c>
      <c r="K144" s="6"/>
      <c r="L144" s="10"/>
      <c r="M144" s="4">
        <f t="shared" si="48"/>
        <v>2022</v>
      </c>
      <c r="N144" s="18"/>
      <c r="O144" s="18"/>
      <c r="P144" s="7">
        <f>P104/3</f>
        <v>4.0849673202614376</v>
      </c>
      <c r="Q144" s="7">
        <f>P144</f>
        <v>4.0849673202614376</v>
      </c>
      <c r="R144" s="7">
        <f>Q144</f>
        <v>4.0849673202614376</v>
      </c>
      <c r="S144" s="7">
        <v>0</v>
      </c>
      <c r="T144" s="7">
        <v>0</v>
      </c>
      <c r="U144" s="6"/>
      <c r="W144" s="62" t="s">
        <v>269</v>
      </c>
    </row>
    <row r="145" spans="2:23" s="2" customFormat="1" x14ac:dyDescent="0.35">
      <c r="C145" s="4">
        <f t="shared" si="49"/>
        <v>2023</v>
      </c>
      <c r="D145" s="18"/>
      <c r="E145" s="18"/>
      <c r="F145" s="18"/>
      <c r="G145" s="7">
        <f>G105/3</f>
        <v>4.166666666666667</v>
      </c>
      <c r="H145" s="7">
        <f>G145</f>
        <v>4.166666666666667</v>
      </c>
      <c r="I145" s="7">
        <f>H145</f>
        <v>4.166666666666667</v>
      </c>
      <c r="J145" s="7">
        <v>0</v>
      </c>
      <c r="K145" s="6"/>
      <c r="L145" s="10"/>
      <c r="M145" s="4">
        <f t="shared" si="48"/>
        <v>2023</v>
      </c>
      <c r="N145" s="18"/>
      <c r="O145" s="18"/>
      <c r="P145" s="18"/>
      <c r="Q145" s="7">
        <f>Q105/3</f>
        <v>4.0048699218249393</v>
      </c>
      <c r="R145" s="7">
        <f>Q145</f>
        <v>4.0048699218249393</v>
      </c>
      <c r="S145" s="7">
        <f>R145</f>
        <v>4.0048699218249393</v>
      </c>
      <c r="T145" s="7">
        <v>0</v>
      </c>
      <c r="U145" s="6"/>
      <c r="W145" s="62" t="s">
        <v>167</v>
      </c>
    </row>
    <row r="146" spans="2:23" s="2" customFormat="1" x14ac:dyDescent="0.35">
      <c r="C146" s="4">
        <f t="shared" si="49"/>
        <v>2024</v>
      </c>
      <c r="D146" s="18"/>
      <c r="E146" s="18"/>
      <c r="F146" s="18"/>
      <c r="G146" s="18"/>
      <c r="H146" s="7">
        <f>H106/3</f>
        <v>4.166666666666667</v>
      </c>
      <c r="I146" s="7">
        <f>H146</f>
        <v>4.166666666666667</v>
      </c>
      <c r="J146" s="7">
        <f>I146</f>
        <v>4.166666666666667</v>
      </c>
      <c r="K146" s="10" t="s">
        <v>4</v>
      </c>
      <c r="L146" s="10"/>
      <c r="M146" s="4">
        <f t="shared" si="48"/>
        <v>2024</v>
      </c>
      <c r="N146" s="18"/>
      <c r="O146" s="18"/>
      <c r="P146" s="18"/>
      <c r="Q146" s="18"/>
      <c r="R146" s="7">
        <f>R106/3</f>
        <v>3.9263430606126857</v>
      </c>
      <c r="S146" s="7">
        <f>R146</f>
        <v>3.9263430606126857</v>
      </c>
      <c r="T146" s="7">
        <f>S146</f>
        <v>3.9263430606126857</v>
      </c>
      <c r="U146" s="10" t="s">
        <v>4</v>
      </c>
      <c r="W146" s="62"/>
    </row>
    <row r="147" spans="2:23" s="2" customFormat="1" x14ac:dyDescent="0.35">
      <c r="C147" s="5" t="s">
        <v>4</v>
      </c>
      <c r="D147" s="21">
        <f t="shared" ref="D147:J147" si="50">SUM(D142:D146)</f>
        <v>4.166666666666667</v>
      </c>
      <c r="E147" s="21">
        <f t="shared" si="50"/>
        <v>8.3333333333333339</v>
      </c>
      <c r="F147" s="21">
        <f t="shared" si="50"/>
        <v>12.5</v>
      </c>
      <c r="G147" s="21">
        <f t="shared" si="50"/>
        <v>12.5</v>
      </c>
      <c r="H147" s="21">
        <f t="shared" si="50"/>
        <v>12.5</v>
      </c>
      <c r="I147" s="21">
        <f t="shared" si="50"/>
        <v>8.3333333333333339</v>
      </c>
      <c r="J147" s="21">
        <f t="shared" si="50"/>
        <v>4.166666666666667</v>
      </c>
      <c r="K147" s="12">
        <f>SUM(D147:J147)</f>
        <v>62.5</v>
      </c>
      <c r="L147" s="10"/>
      <c r="M147" s="5" t="s">
        <v>4</v>
      </c>
      <c r="N147" s="21">
        <f t="shared" ref="N147:T147" si="51">SUM(N142:N146)</f>
        <v>4.166666666666667</v>
      </c>
      <c r="O147" s="21">
        <f t="shared" si="51"/>
        <v>8.3333333333333339</v>
      </c>
      <c r="P147" s="21">
        <f t="shared" si="51"/>
        <v>12.418300653594772</v>
      </c>
      <c r="Q147" s="21">
        <f t="shared" si="51"/>
        <v>12.256503908753045</v>
      </c>
      <c r="R147" s="21">
        <f t="shared" si="51"/>
        <v>12.016180302699063</v>
      </c>
      <c r="S147" s="21">
        <f t="shared" si="51"/>
        <v>7.931212982437625</v>
      </c>
      <c r="T147" s="21">
        <f t="shared" si="51"/>
        <v>3.9263430606126857</v>
      </c>
      <c r="U147" s="12">
        <f>SUM(N147:T147)</f>
        <v>61.048540908097188</v>
      </c>
      <c r="W147" s="62"/>
    </row>
    <row r="148" spans="2:23" s="2" customFormat="1" x14ac:dyDescent="0.35">
      <c r="C148" s="6"/>
      <c r="D148" s="6"/>
      <c r="E148" s="6"/>
      <c r="F148" s="6"/>
      <c r="G148" s="6"/>
      <c r="H148" s="6"/>
      <c r="I148" s="6"/>
      <c r="J148" s="6"/>
      <c r="K148" s="6"/>
      <c r="L148" s="10"/>
      <c r="M148" s="6"/>
      <c r="W148" s="62"/>
    </row>
    <row r="149" spans="2:23" s="2" customFormat="1" ht="30" customHeight="1" x14ac:dyDescent="0.35">
      <c r="C149" s="125" t="s">
        <v>457</v>
      </c>
      <c r="D149" s="125"/>
      <c r="E149" s="125"/>
      <c r="F149" s="125"/>
      <c r="G149" s="125"/>
      <c r="H149" s="125"/>
      <c r="I149" s="125"/>
      <c r="J149" s="125"/>
      <c r="K149" s="125"/>
      <c r="L149" s="10"/>
      <c r="M149" s="125" t="s">
        <v>458</v>
      </c>
      <c r="N149" s="125"/>
      <c r="O149" s="125"/>
      <c r="P149" s="125"/>
      <c r="Q149" s="125"/>
      <c r="R149" s="125"/>
      <c r="S149" s="125"/>
      <c r="T149" s="125"/>
      <c r="U149" s="125"/>
      <c r="W149" s="62"/>
    </row>
    <row r="150" spans="2:23" s="2" customFormat="1" x14ac:dyDescent="0.35">
      <c r="C150" s="4" t="s">
        <v>110</v>
      </c>
      <c r="D150" s="126" t="s">
        <v>0</v>
      </c>
      <c r="E150" s="126"/>
      <c r="F150" s="126"/>
      <c r="G150" s="126"/>
      <c r="H150" s="126"/>
      <c r="I150" s="126"/>
      <c r="J150" s="126"/>
      <c r="L150" s="10"/>
      <c r="M150" s="4" t="s">
        <v>110</v>
      </c>
      <c r="N150" s="126" t="s">
        <v>0</v>
      </c>
      <c r="O150" s="126"/>
      <c r="P150" s="126"/>
      <c r="Q150" s="126"/>
      <c r="R150" s="126"/>
      <c r="S150" s="126"/>
      <c r="T150" s="126"/>
      <c r="W150" s="62" t="s">
        <v>264</v>
      </c>
    </row>
    <row r="151" spans="2:23" s="2" customFormat="1" x14ac:dyDescent="0.35">
      <c r="C151" s="4" t="s">
        <v>1</v>
      </c>
      <c r="D151" s="5">
        <v>2020</v>
      </c>
      <c r="E151" s="5">
        <v>2021</v>
      </c>
      <c r="F151" s="5">
        <v>2022</v>
      </c>
      <c r="G151" s="5">
        <v>2023</v>
      </c>
      <c r="H151" s="5">
        <v>2024</v>
      </c>
      <c r="I151" s="5">
        <v>2025</v>
      </c>
      <c r="J151" s="5">
        <v>2026</v>
      </c>
      <c r="K151" s="6"/>
      <c r="L151" s="10"/>
      <c r="M151" s="4" t="s">
        <v>1</v>
      </c>
      <c r="N151" s="5">
        <v>2020</v>
      </c>
      <c r="O151" s="5">
        <v>2021</v>
      </c>
      <c r="P151" s="5">
        <v>2022</v>
      </c>
      <c r="Q151" s="5">
        <v>2023</v>
      </c>
      <c r="R151" s="5">
        <v>2024</v>
      </c>
      <c r="S151" s="5">
        <v>2025</v>
      </c>
      <c r="T151" s="5">
        <v>2026</v>
      </c>
      <c r="U151" s="6"/>
      <c r="W151" s="62" t="s">
        <v>364</v>
      </c>
    </row>
    <row r="152" spans="2:23" s="2" customFormat="1" x14ac:dyDescent="0.35">
      <c r="C152" s="4">
        <f>C142</f>
        <v>2020</v>
      </c>
      <c r="D152" s="42">
        <f>'A - Base data at Dec 31, 2019'!D143</f>
        <v>2.2823928606751323</v>
      </c>
      <c r="E152" s="42">
        <f>'A - Base data at Dec 31, 2019'!E143</f>
        <v>2.0541535746076187</v>
      </c>
      <c r="F152" s="42">
        <f>'A - Base data at Dec 31, 2019'!F143</f>
        <v>1.8487382171468569</v>
      </c>
      <c r="G152" s="42">
        <f>'A - Base data at Dec 31, 2019'!G143</f>
        <v>1.6638643954321712</v>
      </c>
      <c r="H152" s="42">
        <f>'A - Base data at Dec 31, 2019'!H143</f>
        <v>1.4974779558889544</v>
      </c>
      <c r="I152" s="42">
        <f>'A - Base data at Dec 31, 2019'!I143</f>
        <v>0</v>
      </c>
      <c r="J152" s="42">
        <f>'A - Base data at Dec 31, 2019'!J143</f>
        <v>0</v>
      </c>
      <c r="K152" s="6"/>
      <c r="L152" s="10"/>
      <c r="M152" s="4">
        <f>C152</f>
        <v>2020</v>
      </c>
      <c r="N152" s="7">
        <f>D152</f>
        <v>2.2823928606751323</v>
      </c>
      <c r="O152" s="7">
        <f t="shared" ref="O152:T156" si="52">E152</f>
        <v>2.0541535746076187</v>
      </c>
      <c r="P152" s="7">
        <f t="shared" si="52"/>
        <v>1.8487382171468569</v>
      </c>
      <c r="Q152" s="7">
        <f t="shared" si="52"/>
        <v>1.6638643954321712</v>
      </c>
      <c r="R152" s="7">
        <f t="shared" si="52"/>
        <v>1.4974779558889544</v>
      </c>
      <c r="S152" s="7">
        <f t="shared" si="52"/>
        <v>0</v>
      </c>
      <c r="T152" s="7">
        <f t="shared" si="52"/>
        <v>0</v>
      </c>
      <c r="U152" s="6"/>
      <c r="W152" s="62"/>
    </row>
    <row r="153" spans="2:23" s="2" customFormat="1" x14ac:dyDescent="0.35">
      <c r="C153" s="4">
        <f>C143</f>
        <v>2021</v>
      </c>
      <c r="D153" s="18"/>
      <c r="E153" s="42">
        <f>'A - Base data at Dec 31, 2019'!E144</f>
        <v>2.2823928606751323</v>
      </c>
      <c r="F153" s="42">
        <f>'A - Base data at Dec 31, 2019'!F144</f>
        <v>2.0541535746076187</v>
      </c>
      <c r="G153" s="42">
        <f>'A - Base data at Dec 31, 2019'!G144</f>
        <v>1.8487382171468569</v>
      </c>
      <c r="H153" s="42">
        <f>'A - Base data at Dec 31, 2019'!H144</f>
        <v>1.6638643954321712</v>
      </c>
      <c r="I153" s="42">
        <f>'A - Base data at Dec 31, 2019'!I144</f>
        <v>0</v>
      </c>
      <c r="J153" s="42">
        <f>'A - Base data at Dec 31, 2019'!J144</f>
        <v>0</v>
      </c>
      <c r="K153" s="6"/>
      <c r="L153" s="10"/>
      <c r="M153" s="4">
        <f t="shared" ref="M153:M156" si="53">C153</f>
        <v>2021</v>
      </c>
      <c r="N153" s="7"/>
      <c r="O153" s="7">
        <f t="shared" si="52"/>
        <v>2.2823928606751323</v>
      </c>
      <c r="P153" s="7">
        <f t="shared" si="52"/>
        <v>2.0541535746076187</v>
      </c>
      <c r="Q153" s="7">
        <f t="shared" si="52"/>
        <v>1.8487382171468569</v>
      </c>
      <c r="R153" s="7">
        <f t="shared" si="52"/>
        <v>1.6638643954321712</v>
      </c>
      <c r="S153" s="7">
        <f t="shared" si="52"/>
        <v>0</v>
      </c>
      <c r="T153" s="7">
        <f t="shared" si="52"/>
        <v>0</v>
      </c>
      <c r="U153" s="6"/>
      <c r="W153" s="62" t="s">
        <v>265</v>
      </c>
    </row>
    <row r="154" spans="2:23" s="2" customFormat="1" x14ac:dyDescent="0.35">
      <c r="C154" s="4">
        <f t="shared" ref="C154:C156" si="54">C144</f>
        <v>2022</v>
      </c>
      <c r="D154" s="18"/>
      <c r="E154" s="18"/>
      <c r="F154" s="42">
        <f>'A - Base data at Dec 31, 2019'!F145</f>
        <v>2.2823928606751323</v>
      </c>
      <c r="G154" s="42">
        <f>'A - Base data at Dec 31, 2019'!G145</f>
        <v>2.0541535746076187</v>
      </c>
      <c r="H154" s="42">
        <f>'A - Base data at Dec 31, 2019'!H145</f>
        <v>1.8487382171468569</v>
      </c>
      <c r="I154" s="42">
        <f>'A - Base data at Dec 31, 2019'!I145</f>
        <v>0</v>
      </c>
      <c r="J154" s="42">
        <f>'A - Base data at Dec 31, 2019'!J145</f>
        <v>0</v>
      </c>
      <c r="K154" s="6"/>
      <c r="L154" s="10"/>
      <c r="M154" s="4">
        <f t="shared" si="53"/>
        <v>2022</v>
      </c>
      <c r="N154" s="7"/>
      <c r="O154" s="7"/>
      <c r="P154" s="7">
        <f t="shared" si="52"/>
        <v>2.2823928606751323</v>
      </c>
      <c r="Q154" s="7">
        <f t="shared" si="52"/>
        <v>2.0541535746076187</v>
      </c>
      <c r="R154" s="7">
        <f t="shared" si="52"/>
        <v>1.8487382171468569</v>
      </c>
      <c r="S154" s="7">
        <f t="shared" si="52"/>
        <v>0</v>
      </c>
      <c r="T154" s="7">
        <f t="shared" si="52"/>
        <v>0</v>
      </c>
      <c r="U154" s="6"/>
      <c r="W154" s="62" t="s">
        <v>270</v>
      </c>
    </row>
    <row r="155" spans="2:23" s="2" customFormat="1" x14ac:dyDescent="0.35">
      <c r="C155" s="4">
        <f t="shared" si="54"/>
        <v>2023</v>
      </c>
      <c r="D155" s="18"/>
      <c r="E155" s="18"/>
      <c r="F155" s="18"/>
      <c r="G155" s="42">
        <f>'A - Base data at Dec 31, 2019'!G146</f>
        <v>2.2823928606751323</v>
      </c>
      <c r="H155" s="42">
        <f>'A - Base data at Dec 31, 2019'!H146</f>
        <v>2.0541535746076187</v>
      </c>
      <c r="I155" s="42">
        <f>'A - Base data at Dec 31, 2019'!I146</f>
        <v>0</v>
      </c>
      <c r="J155" s="42">
        <f>'A - Base data at Dec 31, 2019'!J146</f>
        <v>0</v>
      </c>
      <c r="K155" s="6"/>
      <c r="L155" s="10"/>
      <c r="M155" s="4">
        <f t="shared" si="53"/>
        <v>2023</v>
      </c>
      <c r="N155" s="7"/>
      <c r="O155" s="7"/>
      <c r="P155" s="7"/>
      <c r="Q155" s="7">
        <f t="shared" si="52"/>
        <v>2.2823928606751323</v>
      </c>
      <c r="R155" s="7">
        <f t="shared" si="52"/>
        <v>2.0541535746076187</v>
      </c>
      <c r="S155" s="7">
        <f t="shared" si="52"/>
        <v>0</v>
      </c>
      <c r="T155" s="7">
        <f t="shared" si="52"/>
        <v>0</v>
      </c>
      <c r="U155" s="6"/>
      <c r="W155" s="62" t="s">
        <v>167</v>
      </c>
    </row>
    <row r="156" spans="2:23" s="2" customFormat="1" x14ac:dyDescent="0.35">
      <c r="C156" s="4">
        <f t="shared" si="54"/>
        <v>2024</v>
      </c>
      <c r="D156" s="18"/>
      <c r="E156" s="18"/>
      <c r="F156" s="18"/>
      <c r="G156" s="18"/>
      <c r="H156" s="42">
        <f>'A - Base data at Dec 31, 2019'!H147</f>
        <v>2.2823928606751323</v>
      </c>
      <c r="I156" s="42">
        <f>'A - Base data at Dec 31, 2019'!I147</f>
        <v>0</v>
      </c>
      <c r="J156" s="42">
        <f>'A - Base data at Dec 31, 2019'!J147</f>
        <v>0</v>
      </c>
      <c r="K156" s="10" t="s">
        <v>4</v>
      </c>
      <c r="L156" s="10"/>
      <c r="M156" s="4">
        <f t="shared" si="53"/>
        <v>2024</v>
      </c>
      <c r="N156" s="7"/>
      <c r="O156" s="7"/>
      <c r="P156" s="7"/>
      <c r="Q156" s="7"/>
      <c r="R156" s="7">
        <f t="shared" si="52"/>
        <v>2.2823928606751323</v>
      </c>
      <c r="S156" s="7">
        <f t="shared" si="52"/>
        <v>0</v>
      </c>
      <c r="T156" s="7">
        <f t="shared" si="52"/>
        <v>0</v>
      </c>
      <c r="U156" s="10" t="s">
        <v>4</v>
      </c>
      <c r="W156" s="62"/>
    </row>
    <row r="157" spans="2:23" s="2" customFormat="1" x14ac:dyDescent="0.35">
      <c r="C157" s="5" t="s">
        <v>4</v>
      </c>
      <c r="D157" s="21">
        <f t="shared" ref="D157:J157" si="55">SUM(D152:D156)</f>
        <v>2.2823928606751323</v>
      </c>
      <c r="E157" s="21">
        <f t="shared" si="55"/>
        <v>4.3365464352827505</v>
      </c>
      <c r="F157" s="21">
        <f t="shared" si="55"/>
        <v>6.1852846524296083</v>
      </c>
      <c r="G157" s="21">
        <f t="shared" si="55"/>
        <v>7.8491490478617791</v>
      </c>
      <c r="H157" s="21">
        <f t="shared" si="55"/>
        <v>9.3466270037507329</v>
      </c>
      <c r="I157" s="13">
        <f t="shared" si="55"/>
        <v>0</v>
      </c>
      <c r="J157" s="13">
        <f t="shared" si="55"/>
        <v>0</v>
      </c>
      <c r="K157" s="12">
        <f>SUM(D157:J157)</f>
        <v>30.000000000000004</v>
      </c>
      <c r="L157" s="10"/>
      <c r="M157" s="5" t="s">
        <v>4</v>
      </c>
      <c r="N157" s="21">
        <f t="shared" ref="N157:T157" si="56">SUM(N152:N156)</f>
        <v>2.2823928606751323</v>
      </c>
      <c r="O157" s="21">
        <f t="shared" si="56"/>
        <v>4.3365464352827505</v>
      </c>
      <c r="P157" s="21">
        <f t="shared" si="56"/>
        <v>6.1852846524296083</v>
      </c>
      <c r="Q157" s="21">
        <f t="shared" si="56"/>
        <v>7.8491490478617791</v>
      </c>
      <c r="R157" s="21">
        <f t="shared" si="56"/>
        <v>9.3466270037507329</v>
      </c>
      <c r="S157" s="21">
        <f t="shared" si="56"/>
        <v>0</v>
      </c>
      <c r="T157" s="21">
        <f t="shared" si="56"/>
        <v>0</v>
      </c>
      <c r="U157" s="12">
        <f>SUM(N157:T157)</f>
        <v>30.000000000000004</v>
      </c>
      <c r="W157" s="62"/>
    </row>
    <row r="159" spans="2:23" s="64" customFormat="1" x14ac:dyDescent="0.35">
      <c r="C159" s="65"/>
      <c r="D159" s="65"/>
      <c r="E159" s="65"/>
      <c r="F159" s="65"/>
      <c r="G159" s="65"/>
      <c r="H159" s="65"/>
      <c r="I159" s="65"/>
      <c r="J159" s="65"/>
      <c r="K159" s="65"/>
      <c r="L159" s="70"/>
      <c r="M159" s="65"/>
      <c r="W159" s="66"/>
    </row>
    <row r="160" spans="2:23" s="2" customFormat="1" ht="28.75" customHeight="1" x14ac:dyDescent="0.35">
      <c r="B160" t="s">
        <v>459</v>
      </c>
      <c r="C160" s="123" t="s">
        <v>460</v>
      </c>
      <c r="D160" s="72"/>
      <c r="E160" s="72"/>
      <c r="F160" s="72"/>
      <c r="G160" s="72"/>
      <c r="H160" s="72"/>
      <c r="I160" s="124"/>
      <c r="J160" s="72"/>
      <c r="K160" s="72"/>
      <c r="L160" s="10"/>
      <c r="M160" s="128" t="s">
        <v>461</v>
      </c>
      <c r="N160" s="128"/>
      <c r="O160" s="128"/>
      <c r="P160" s="128"/>
      <c r="Q160" s="128"/>
      <c r="R160" s="128"/>
      <c r="S160" s="128"/>
      <c r="T160" s="128"/>
      <c r="U160" s="128"/>
      <c r="W160" s="62"/>
    </row>
    <row r="161" spans="2:23" s="2" customFormat="1" x14ac:dyDescent="0.35">
      <c r="C161" s="4" t="s">
        <v>110</v>
      </c>
      <c r="D161" s="126" t="s">
        <v>0</v>
      </c>
      <c r="E161" s="126"/>
      <c r="F161" s="126"/>
      <c r="G161" s="126"/>
      <c r="H161" s="126"/>
      <c r="I161" s="126"/>
      <c r="J161" s="126"/>
      <c r="L161" s="10"/>
      <c r="M161" s="4" t="s">
        <v>110</v>
      </c>
      <c r="N161" s="126" t="s">
        <v>0</v>
      </c>
      <c r="O161" s="126"/>
      <c r="P161" s="126"/>
      <c r="Q161" s="126"/>
      <c r="R161" s="126"/>
      <c r="S161" s="126"/>
      <c r="T161" s="126"/>
      <c r="W161" s="62"/>
    </row>
    <row r="162" spans="2:23" x14ac:dyDescent="0.35">
      <c r="C162" s="4" t="s">
        <v>1</v>
      </c>
      <c r="D162" s="5">
        <v>2020</v>
      </c>
      <c r="E162" s="5">
        <v>2021</v>
      </c>
      <c r="F162" s="5">
        <v>2022</v>
      </c>
      <c r="G162" s="5">
        <v>2023</v>
      </c>
      <c r="H162" s="5">
        <v>2024</v>
      </c>
      <c r="I162" s="5">
        <v>2025</v>
      </c>
      <c r="J162" s="5">
        <v>2026</v>
      </c>
      <c r="K162" s="6"/>
      <c r="L162" s="10"/>
      <c r="M162" s="4" t="s">
        <v>1</v>
      </c>
      <c r="N162" s="5">
        <v>2020</v>
      </c>
      <c r="O162" s="5">
        <v>2021</v>
      </c>
      <c r="P162" s="5">
        <v>2022</v>
      </c>
      <c r="Q162" s="5">
        <v>2023</v>
      </c>
      <c r="R162" s="5">
        <v>2024</v>
      </c>
      <c r="S162" s="5">
        <v>2025</v>
      </c>
      <c r="T162" s="5">
        <v>2026</v>
      </c>
      <c r="U162" s="6"/>
      <c r="W162" s="61" t="s">
        <v>271</v>
      </c>
    </row>
    <row r="163" spans="2:23" x14ac:dyDescent="0.35">
      <c r="C163" s="4">
        <f>C152</f>
        <v>2020</v>
      </c>
      <c r="D163" s="7">
        <f t="shared" ref="D163:J163" si="57">D72-D82</f>
        <v>10</v>
      </c>
      <c r="E163" s="7">
        <f t="shared" si="57"/>
        <v>6.7499999999999929</v>
      </c>
      <c r="F163" s="7">
        <f t="shared" si="57"/>
        <v>5.7374999999999972</v>
      </c>
      <c r="G163" s="7">
        <f t="shared" si="57"/>
        <v>4.8768749999999947</v>
      </c>
      <c r="H163" s="7">
        <f t="shared" si="57"/>
        <v>4.145343749999995</v>
      </c>
      <c r="I163" s="7">
        <f t="shared" si="57"/>
        <v>3.5235421874999986</v>
      </c>
      <c r="J163" s="7">
        <f t="shared" si="57"/>
        <v>2.9950108593749967</v>
      </c>
      <c r="K163" s="6"/>
      <c r="L163" s="10"/>
      <c r="M163" s="4">
        <f>C163</f>
        <v>2020</v>
      </c>
      <c r="N163" s="7">
        <f t="shared" ref="N163:T163" si="58">N72-N82</f>
        <v>10</v>
      </c>
      <c r="O163" s="7">
        <f t="shared" si="58"/>
        <v>7.1268564811422053</v>
      </c>
      <c r="P163" s="7">
        <f t="shared" si="58"/>
        <v>5.9390470676185068</v>
      </c>
      <c r="Q163" s="7">
        <f t="shared" si="58"/>
        <v>4.9492058896820836</v>
      </c>
      <c r="R163" s="7">
        <f t="shared" si="58"/>
        <v>4.1243382414017375</v>
      </c>
      <c r="S163" s="7">
        <f t="shared" si="58"/>
        <v>3.4369485345014503</v>
      </c>
      <c r="T163" s="7">
        <f t="shared" si="58"/>
        <v>2.8641237787512051</v>
      </c>
      <c r="U163" s="6"/>
      <c r="W163" s="61" t="s">
        <v>273</v>
      </c>
    </row>
    <row r="164" spans="2:23" x14ac:dyDescent="0.35">
      <c r="C164" s="4">
        <f>C153</f>
        <v>2021</v>
      </c>
      <c r="D164" s="18"/>
      <c r="E164" s="7">
        <f t="shared" ref="E164:J164" si="59">E73-E83</f>
        <v>7.4999999999999929</v>
      </c>
      <c r="F164" s="7">
        <f t="shared" si="59"/>
        <v>6.3749999999999929</v>
      </c>
      <c r="G164" s="7">
        <f t="shared" si="59"/>
        <v>5.4187499999999957</v>
      </c>
      <c r="H164" s="7">
        <f t="shared" si="59"/>
        <v>4.605937499999996</v>
      </c>
      <c r="I164" s="7">
        <f t="shared" si="59"/>
        <v>3.915046874999998</v>
      </c>
      <c r="J164" s="7">
        <f t="shared" si="59"/>
        <v>3.3277898437499971</v>
      </c>
      <c r="K164" s="6"/>
      <c r="L164" s="10"/>
      <c r="M164" s="4">
        <f t="shared" ref="M164:M167" si="60">C164</f>
        <v>2021</v>
      </c>
      <c r="N164" s="18"/>
      <c r="O164" s="7">
        <f>O73-O83</f>
        <v>7.9187294234913352</v>
      </c>
      <c r="P164" s="7">
        <f t="shared" ref="P164:T164" si="61">P73-P83</f>
        <v>6.5989411862427758</v>
      </c>
      <c r="Q164" s="7">
        <f t="shared" si="61"/>
        <v>5.4991176552023155</v>
      </c>
      <c r="R164" s="7">
        <f t="shared" si="61"/>
        <v>4.5825980460019302</v>
      </c>
      <c r="S164" s="7">
        <f t="shared" si="61"/>
        <v>3.8188317050016103</v>
      </c>
      <c r="T164" s="7">
        <f t="shared" si="61"/>
        <v>3.1823597541680044</v>
      </c>
      <c r="U164" s="6"/>
    </row>
    <row r="165" spans="2:23" x14ac:dyDescent="0.35">
      <c r="C165" s="4">
        <f>C154</f>
        <v>2022</v>
      </c>
      <c r="D165" s="18"/>
      <c r="E165" s="18"/>
      <c r="F165" s="7">
        <f>F74-F84</f>
        <v>7.4999999999999929</v>
      </c>
      <c r="G165" s="7">
        <f>G74-G84</f>
        <v>6.3749999999999929</v>
      </c>
      <c r="H165" s="7">
        <f>H74-H84</f>
        <v>5.4187499999999957</v>
      </c>
      <c r="I165" s="7">
        <f>I74-I84</f>
        <v>4.605937499999996</v>
      </c>
      <c r="J165" s="7">
        <f>J74-J84</f>
        <v>3.915046874999998</v>
      </c>
      <c r="K165" s="6"/>
      <c r="L165" s="10"/>
      <c r="M165" s="4">
        <f t="shared" si="60"/>
        <v>2022</v>
      </c>
      <c r="N165" s="18"/>
      <c r="O165" s="18"/>
      <c r="P165" s="7">
        <f>P74-P84</f>
        <v>7.7634602191091489</v>
      </c>
      <c r="Q165" s="7">
        <f>Q74-Q84</f>
        <v>6.4695501825909574</v>
      </c>
      <c r="R165" s="7">
        <f>R74-R84</f>
        <v>5.3912918188258061</v>
      </c>
      <c r="S165" s="7">
        <f>S74-S84</f>
        <v>4.4927431823548361</v>
      </c>
      <c r="T165" s="7">
        <f>T74-T84</f>
        <v>3.7439526519623634</v>
      </c>
      <c r="U165" s="6"/>
      <c r="W165" s="61" t="s">
        <v>272</v>
      </c>
    </row>
    <row r="166" spans="2:23" x14ac:dyDescent="0.35">
      <c r="C166" s="4">
        <f>C155</f>
        <v>2023</v>
      </c>
      <c r="D166" s="18"/>
      <c r="E166" s="18"/>
      <c r="F166" s="18"/>
      <c r="G166" s="7">
        <f>G75-G85</f>
        <v>7.4999999999999929</v>
      </c>
      <c r="H166" s="7">
        <f>H75-H85</f>
        <v>6.3749999999999929</v>
      </c>
      <c r="I166" s="7">
        <f>I75-I85</f>
        <v>5.4187499999999957</v>
      </c>
      <c r="J166" s="7">
        <f>J75-J85</f>
        <v>4.605937499999996</v>
      </c>
      <c r="K166" s="6"/>
      <c r="L166" s="10"/>
      <c r="M166" s="4">
        <f t="shared" si="60"/>
        <v>2023</v>
      </c>
      <c r="N166" s="18"/>
      <c r="O166" s="18"/>
      <c r="P166" s="18"/>
      <c r="Q166" s="7">
        <f>Q75-Q85</f>
        <v>7.611235508930541</v>
      </c>
      <c r="R166" s="7">
        <f>R75-R85</f>
        <v>6.3426962574421211</v>
      </c>
      <c r="S166" s="7">
        <f>S75-S85</f>
        <v>5.2855802145350985</v>
      </c>
      <c r="T166" s="7">
        <f>T75-T85</f>
        <v>4.4046501787792494</v>
      </c>
      <c r="U166" s="6"/>
      <c r="W166" s="61" t="s">
        <v>274</v>
      </c>
    </row>
    <row r="167" spans="2:23" x14ac:dyDescent="0.35">
      <c r="C167" s="4">
        <f>C156</f>
        <v>2024</v>
      </c>
      <c r="D167" s="18"/>
      <c r="E167" s="18"/>
      <c r="F167" s="18"/>
      <c r="G167" s="18"/>
      <c r="H167" s="7">
        <f>H76-H86</f>
        <v>7.4999999999999929</v>
      </c>
      <c r="I167" s="7">
        <f>I76-I86</f>
        <v>6.3749999999999929</v>
      </c>
      <c r="J167" s="7">
        <f>J76-J86</f>
        <v>5.4187499999999957</v>
      </c>
      <c r="K167" s="10" t="s">
        <v>4</v>
      </c>
      <c r="L167" s="10"/>
      <c r="M167" s="4">
        <f t="shared" si="60"/>
        <v>2024</v>
      </c>
      <c r="N167" s="18"/>
      <c r="O167" s="18"/>
      <c r="P167" s="18"/>
      <c r="Q167" s="18"/>
      <c r="R167" s="7">
        <f>R76-R86</f>
        <v>7.4619955969907252</v>
      </c>
      <c r="S167" s="7">
        <f>S76-S86</f>
        <v>6.2183296641589365</v>
      </c>
      <c r="T167" s="7">
        <f>T76-T86</f>
        <v>5.1819413867991209</v>
      </c>
      <c r="U167" s="10" t="s">
        <v>4</v>
      </c>
    </row>
    <row r="168" spans="2:23" x14ac:dyDescent="0.35">
      <c r="C168" s="5" t="s">
        <v>4</v>
      </c>
      <c r="D168" s="21">
        <f t="shared" ref="D168:J168" si="62">SUM(D163:D167)</f>
        <v>10</v>
      </c>
      <c r="E168" s="21">
        <f t="shared" si="62"/>
        <v>14.249999999999986</v>
      </c>
      <c r="F168" s="21">
        <f t="shared" si="62"/>
        <v>19.612499999999983</v>
      </c>
      <c r="G168" s="21">
        <f t="shared" si="62"/>
        <v>24.170624999999976</v>
      </c>
      <c r="H168" s="21">
        <f t="shared" si="62"/>
        <v>28.045031249999973</v>
      </c>
      <c r="I168" s="21">
        <f t="shared" si="62"/>
        <v>23.838276562499981</v>
      </c>
      <c r="J168" s="21">
        <f t="shared" si="62"/>
        <v>20.262535078124984</v>
      </c>
      <c r="K168" s="12">
        <f>SUM(D168:J168)</f>
        <v>140.1789678906249</v>
      </c>
      <c r="L168" s="10"/>
      <c r="M168" s="5" t="s">
        <v>4</v>
      </c>
      <c r="N168" s="21">
        <f t="shared" ref="N168:T168" si="63">SUM(N163:N167)</f>
        <v>10</v>
      </c>
      <c r="O168" s="21">
        <f>SUM(O163:O167)</f>
        <v>15.045585904633541</v>
      </c>
      <c r="P168" s="21">
        <f t="shared" si="63"/>
        <v>20.301448472970431</v>
      </c>
      <c r="Q168" s="21">
        <f t="shared" si="63"/>
        <v>24.529109236405898</v>
      </c>
      <c r="R168" s="21">
        <f t="shared" si="63"/>
        <v>27.90291996066232</v>
      </c>
      <c r="S168" s="21">
        <f t="shared" si="63"/>
        <v>23.252433300551932</v>
      </c>
      <c r="T168" s="21">
        <f t="shared" si="63"/>
        <v>19.377027750459945</v>
      </c>
      <c r="U168" s="12">
        <f>SUM(N168:T168)</f>
        <v>140.40852462568407</v>
      </c>
    </row>
    <row r="170" spans="2:23" s="28" customFormat="1" x14ac:dyDescent="0.35">
      <c r="W170" s="63"/>
    </row>
    <row r="171" spans="2:23" x14ac:dyDescent="0.35">
      <c r="B171" t="s">
        <v>39</v>
      </c>
      <c r="C171" s="131" t="s">
        <v>462</v>
      </c>
      <c r="D171" s="131"/>
      <c r="E171" s="131"/>
      <c r="F171" s="131"/>
      <c r="G171" s="131"/>
      <c r="H171" s="131"/>
      <c r="I171" s="131"/>
      <c r="J171" s="131"/>
      <c r="K171" s="131"/>
    </row>
    <row r="172" spans="2:23" x14ac:dyDescent="0.35">
      <c r="C172" s="131"/>
      <c r="D172" s="131"/>
      <c r="E172" s="131"/>
      <c r="F172" s="131"/>
      <c r="G172" s="131"/>
      <c r="H172" s="131"/>
      <c r="I172" s="131"/>
      <c r="J172" s="131"/>
      <c r="K172" s="131"/>
    </row>
    <row r="173" spans="2:23" x14ac:dyDescent="0.35">
      <c r="C173" s="4" t="s">
        <v>110</v>
      </c>
      <c r="D173" s="126" t="s">
        <v>39</v>
      </c>
      <c r="E173" s="126"/>
      <c r="F173" s="126"/>
      <c r="G173" s="126"/>
      <c r="H173" s="126"/>
      <c r="I173" s="126"/>
      <c r="J173" s="126"/>
      <c r="K173" s="2"/>
      <c r="W173" s="61" t="s">
        <v>275</v>
      </c>
    </row>
    <row r="174" spans="2:23" x14ac:dyDescent="0.35">
      <c r="C174" s="4" t="s">
        <v>1</v>
      </c>
      <c r="D174" s="5">
        <v>2020</v>
      </c>
      <c r="E174" s="5">
        <v>2021</v>
      </c>
      <c r="F174" s="5">
        <v>2022</v>
      </c>
      <c r="G174" s="5">
        <v>2023</v>
      </c>
      <c r="H174" s="5">
        <v>2024</v>
      </c>
      <c r="I174" s="5">
        <v>2025</v>
      </c>
      <c r="J174" s="5">
        <v>2026</v>
      </c>
      <c r="K174" s="10" t="s">
        <v>4</v>
      </c>
      <c r="W174" s="61" t="s">
        <v>276</v>
      </c>
    </row>
    <row r="175" spans="2:23" x14ac:dyDescent="0.35">
      <c r="C175" s="4">
        <f>C163</f>
        <v>2020</v>
      </c>
      <c r="D175" s="25">
        <f>'C - Rec. Tests at Dec 31, 2019'!E123</f>
        <v>0</v>
      </c>
      <c r="E175" s="25">
        <f>'C - Rec. Tests at Dec 31, 2019'!F123</f>
        <v>0</v>
      </c>
      <c r="F175" s="25">
        <f>'C - Rec. Tests at Dec 31, 2019'!G123</f>
        <v>0</v>
      </c>
    </row>
    <row r="176" spans="2:23" x14ac:dyDescent="0.35">
      <c r="C176" s="4">
        <f>C164</f>
        <v>2021</v>
      </c>
    </row>
    <row r="177" spans="3:23" x14ac:dyDescent="0.35">
      <c r="C177" s="4">
        <f>C165</f>
        <v>2022</v>
      </c>
    </row>
    <row r="178" spans="3:23" x14ac:dyDescent="0.35">
      <c r="C178" s="4">
        <f>C166</f>
        <v>2023</v>
      </c>
    </row>
    <row r="179" spans="3:23" x14ac:dyDescent="0.35">
      <c r="C179" s="4">
        <f>C167</f>
        <v>2024</v>
      </c>
    </row>
    <row r="180" spans="3:23" x14ac:dyDescent="0.35">
      <c r="C180" s="5" t="s">
        <v>4</v>
      </c>
      <c r="D180" s="21">
        <f>SUM(D175:D179)</f>
        <v>0</v>
      </c>
      <c r="E180" s="21">
        <f t="shared" ref="E180" si="64">SUM(E175:E179)</f>
        <v>0</v>
      </c>
      <c r="F180" s="21">
        <f t="shared" ref="F180" si="65">SUM(F175:F179)</f>
        <v>0</v>
      </c>
      <c r="G180" s="21">
        <f t="shared" ref="G180" si="66">SUM(G175:G179)</f>
        <v>0</v>
      </c>
      <c r="H180" s="21">
        <f t="shared" ref="H180" si="67">SUM(H175:H179)</f>
        <v>0</v>
      </c>
      <c r="I180" s="21">
        <f t="shared" ref="I180" si="68">SUM(I175:I179)</f>
        <v>0</v>
      </c>
      <c r="J180" s="21">
        <f t="shared" ref="J180" si="69">SUM(J175:J179)</f>
        <v>0</v>
      </c>
      <c r="K180" s="12">
        <f>SUM(D180:J180)</f>
        <v>0</v>
      </c>
    </row>
    <row r="182" spans="3:23" x14ac:dyDescent="0.35">
      <c r="C182" s="132" t="s">
        <v>464</v>
      </c>
      <c r="D182" s="132"/>
      <c r="E182" s="132"/>
      <c r="F182" s="132"/>
      <c r="G182" s="132"/>
      <c r="H182" s="132"/>
      <c r="I182" s="132"/>
      <c r="J182" s="132"/>
      <c r="K182" s="132"/>
    </row>
    <row r="183" spans="3:23" x14ac:dyDescent="0.35">
      <c r="C183" s="132"/>
      <c r="D183" s="132"/>
      <c r="E183" s="132"/>
      <c r="F183" s="132"/>
      <c r="G183" s="132"/>
      <c r="H183" s="132"/>
      <c r="I183" s="132"/>
      <c r="J183" s="132"/>
      <c r="K183" s="132"/>
    </row>
    <row r="184" spans="3:23" x14ac:dyDescent="0.35">
      <c r="C184" s="4" t="s">
        <v>110</v>
      </c>
      <c r="D184" s="126" t="s">
        <v>39</v>
      </c>
      <c r="E184" s="126"/>
      <c r="F184" s="126"/>
      <c r="G184" s="126"/>
      <c r="H184" s="126"/>
      <c r="I184" s="126"/>
      <c r="J184" s="126"/>
      <c r="K184" s="2"/>
      <c r="W184" s="61" t="s">
        <v>277</v>
      </c>
    </row>
    <row r="185" spans="3:23" x14ac:dyDescent="0.35">
      <c r="C185" s="4" t="s">
        <v>1</v>
      </c>
      <c r="D185" s="5">
        <v>2020</v>
      </c>
      <c r="E185" s="5">
        <v>2021</v>
      </c>
      <c r="F185" s="5">
        <v>2022</v>
      </c>
      <c r="G185" s="5">
        <v>2023</v>
      </c>
      <c r="H185" s="5">
        <v>2024</v>
      </c>
      <c r="I185" s="5">
        <v>2025</v>
      </c>
      <c r="J185" s="5">
        <v>2026</v>
      </c>
      <c r="K185" s="10" t="s">
        <v>4</v>
      </c>
      <c r="W185" s="61" t="s">
        <v>463</v>
      </c>
    </row>
    <row r="186" spans="3:23" x14ac:dyDescent="0.35">
      <c r="C186" s="4">
        <f>C175</f>
        <v>2020</v>
      </c>
      <c r="D186" s="25">
        <f>D175</f>
        <v>0</v>
      </c>
      <c r="E186" s="25">
        <v>0</v>
      </c>
      <c r="F186" s="25">
        <v>0</v>
      </c>
      <c r="W186" s="61" t="s">
        <v>278</v>
      </c>
    </row>
    <row r="187" spans="3:23" x14ac:dyDescent="0.35">
      <c r="C187" s="4">
        <f t="shared" ref="C187:C190" si="70">C176</f>
        <v>2021</v>
      </c>
    </row>
    <row r="188" spans="3:23" x14ac:dyDescent="0.35">
      <c r="C188" s="4">
        <f t="shared" si="70"/>
        <v>2022</v>
      </c>
    </row>
    <row r="189" spans="3:23" x14ac:dyDescent="0.35">
      <c r="C189" s="4">
        <f t="shared" si="70"/>
        <v>2023</v>
      </c>
    </row>
    <row r="190" spans="3:23" x14ac:dyDescent="0.35">
      <c r="C190" s="4">
        <f t="shared" si="70"/>
        <v>2024</v>
      </c>
    </row>
    <row r="191" spans="3:23" x14ac:dyDescent="0.35">
      <c r="C191" s="5" t="s">
        <v>4</v>
      </c>
      <c r="D191" s="21">
        <f>SUM(D186:D190)</f>
        <v>0</v>
      </c>
      <c r="E191" s="21">
        <f t="shared" ref="E191" si="71">SUM(E186:E190)</f>
        <v>0</v>
      </c>
      <c r="F191" s="21">
        <f t="shared" ref="F191" si="72">SUM(F186:F190)</f>
        <v>0</v>
      </c>
      <c r="G191" s="21">
        <f t="shared" ref="G191" si="73">SUM(G186:G190)</f>
        <v>0</v>
      </c>
      <c r="H191" s="21">
        <f t="shared" ref="H191" si="74">SUM(H186:H190)</f>
        <v>0</v>
      </c>
      <c r="I191" s="21">
        <f t="shared" ref="I191" si="75">SUM(I186:I190)</f>
        <v>0</v>
      </c>
      <c r="J191" s="21">
        <f t="shared" ref="J191" si="76">SUM(J186:J190)</f>
        <v>0</v>
      </c>
      <c r="K191" s="12">
        <f>SUM(D191:J191)</f>
        <v>0</v>
      </c>
    </row>
    <row r="193" spans="3:23" x14ac:dyDescent="0.35">
      <c r="C193" s="131" t="s">
        <v>465</v>
      </c>
      <c r="D193" s="131"/>
      <c r="E193" s="131"/>
      <c r="F193" s="131"/>
      <c r="G193" s="131"/>
      <c r="H193" s="131"/>
      <c r="I193" s="131"/>
      <c r="J193" s="131"/>
      <c r="K193" s="131"/>
    </row>
    <row r="194" spans="3:23" x14ac:dyDescent="0.35">
      <c r="C194" s="131"/>
      <c r="D194" s="131"/>
      <c r="E194" s="131"/>
      <c r="F194" s="131"/>
      <c r="G194" s="131"/>
      <c r="H194" s="131"/>
      <c r="I194" s="131"/>
      <c r="J194" s="131"/>
      <c r="K194" s="131"/>
    </row>
    <row r="195" spans="3:23" x14ac:dyDescent="0.35">
      <c r="C195" s="4" t="s">
        <v>110</v>
      </c>
      <c r="D195" s="126" t="s">
        <v>39</v>
      </c>
      <c r="E195" s="126"/>
      <c r="F195" s="126"/>
      <c r="G195" s="126"/>
      <c r="H195" s="126"/>
      <c r="I195" s="126"/>
      <c r="J195" s="126"/>
      <c r="K195" s="2"/>
    </row>
    <row r="196" spans="3:23" x14ac:dyDescent="0.35">
      <c r="C196" s="4" t="s">
        <v>1</v>
      </c>
      <c r="D196" s="5">
        <v>2020</v>
      </c>
      <c r="E196" s="5">
        <v>2021</v>
      </c>
      <c r="F196" s="5">
        <v>2022</v>
      </c>
      <c r="G196" s="5">
        <v>2023</v>
      </c>
      <c r="H196" s="5">
        <v>2024</v>
      </c>
      <c r="I196" s="5">
        <v>2025</v>
      </c>
      <c r="J196" s="5">
        <v>2026</v>
      </c>
      <c r="K196" s="10" t="s">
        <v>4</v>
      </c>
      <c r="W196" s="61" t="s">
        <v>279</v>
      </c>
    </row>
    <row r="197" spans="3:23" x14ac:dyDescent="0.35">
      <c r="C197" s="4">
        <f>C175</f>
        <v>2020</v>
      </c>
      <c r="D197" s="25"/>
      <c r="E197" s="25">
        <f>IF($F$13=0,E132+E142,E132)</f>
        <v>8.3333333333333339</v>
      </c>
      <c r="F197" s="25">
        <f>IF($F$13=0,F132+F142,F132)</f>
        <v>8.3333333333333339</v>
      </c>
      <c r="W197" s="61" t="s">
        <v>466</v>
      </c>
    </row>
    <row r="198" spans="3:23" x14ac:dyDescent="0.35">
      <c r="C198" s="4">
        <f t="shared" ref="C198:C201" si="77">C176</f>
        <v>2021</v>
      </c>
      <c r="E198" s="25">
        <f>IF($F$13=0,0,E143)</f>
        <v>0</v>
      </c>
      <c r="F198" s="25">
        <f>IF($F$13=0,0,F143)</f>
        <v>0</v>
      </c>
      <c r="G198" s="25">
        <f>IF($F$13=0,0,G143)</f>
        <v>0</v>
      </c>
      <c r="W198" s="61" t="s">
        <v>280</v>
      </c>
    </row>
    <row r="199" spans="3:23" x14ac:dyDescent="0.35">
      <c r="C199" s="4">
        <f t="shared" si="77"/>
        <v>2022</v>
      </c>
    </row>
    <row r="200" spans="3:23" x14ac:dyDescent="0.35">
      <c r="C200" s="4">
        <f t="shared" si="77"/>
        <v>2023</v>
      </c>
    </row>
    <row r="201" spans="3:23" x14ac:dyDescent="0.35">
      <c r="C201" s="4">
        <f t="shared" si="77"/>
        <v>2024</v>
      </c>
    </row>
    <row r="202" spans="3:23" x14ac:dyDescent="0.35">
      <c r="C202" s="5" t="s">
        <v>4</v>
      </c>
      <c r="D202" s="21">
        <f>SUM(D197:D201)</f>
        <v>0</v>
      </c>
      <c r="E202" s="21">
        <f t="shared" ref="E202" si="78">SUM(E197:E201)</f>
        <v>8.3333333333333339</v>
      </c>
      <c r="F202" s="21">
        <f t="shared" ref="F202" si="79">SUM(F197:F201)</f>
        <v>8.3333333333333339</v>
      </c>
      <c r="G202" s="21">
        <f t="shared" ref="G202" si="80">SUM(G197:G201)</f>
        <v>0</v>
      </c>
      <c r="H202" s="21">
        <f t="shared" ref="H202" si="81">SUM(H197:H201)</f>
        <v>0</v>
      </c>
      <c r="I202" s="21">
        <f t="shared" ref="I202" si="82">SUM(I197:I201)</f>
        <v>0</v>
      </c>
      <c r="J202" s="21">
        <f t="shared" ref="J202" si="83">SUM(J197:J201)</f>
        <v>0</v>
      </c>
      <c r="K202" s="12">
        <f>SUM(D202:J202)</f>
        <v>16.666666666666668</v>
      </c>
    </row>
    <row r="204" spans="3:23" x14ac:dyDescent="0.35">
      <c r="C204" s="131" t="s">
        <v>467</v>
      </c>
      <c r="D204" s="131"/>
      <c r="E204" s="131"/>
      <c r="F204" s="131"/>
      <c r="G204" s="131"/>
      <c r="H204" s="131"/>
      <c r="I204" s="131"/>
      <c r="J204" s="131"/>
      <c r="K204" s="131"/>
    </row>
    <row r="205" spans="3:23" x14ac:dyDescent="0.35">
      <c r="C205" s="131"/>
      <c r="D205" s="131"/>
      <c r="E205" s="131"/>
      <c r="F205" s="131"/>
      <c r="G205" s="131"/>
      <c r="H205" s="131"/>
      <c r="I205" s="131"/>
      <c r="J205" s="131"/>
      <c r="K205" s="131"/>
    </row>
    <row r="206" spans="3:23" x14ac:dyDescent="0.35">
      <c r="C206" s="4" t="s">
        <v>110</v>
      </c>
      <c r="D206" s="126" t="s">
        <v>39</v>
      </c>
      <c r="E206" s="126"/>
      <c r="F206" s="126"/>
      <c r="G206" s="126"/>
      <c r="H206" s="126"/>
      <c r="I206" s="126"/>
      <c r="J206" s="126"/>
      <c r="K206" s="2"/>
    </row>
    <row r="207" spans="3:23" x14ac:dyDescent="0.35">
      <c r="C207" s="4" t="s">
        <v>1</v>
      </c>
      <c r="D207" s="5">
        <v>2020</v>
      </c>
      <c r="E207" s="5">
        <v>2021</v>
      </c>
      <c r="F207" s="5">
        <v>2022</v>
      </c>
      <c r="G207" s="5">
        <v>2023</v>
      </c>
      <c r="H207" s="5">
        <v>2024</v>
      </c>
      <c r="I207" s="5">
        <v>2025</v>
      </c>
      <c r="J207" s="5">
        <v>2026</v>
      </c>
      <c r="K207" s="10" t="s">
        <v>4</v>
      </c>
      <c r="W207" s="61" t="s">
        <v>281</v>
      </c>
    </row>
    <row r="208" spans="3:23" x14ac:dyDescent="0.35">
      <c r="C208" s="4">
        <f>C163</f>
        <v>2020</v>
      </c>
      <c r="D208" s="25">
        <f>D175-D186+D197</f>
        <v>0</v>
      </c>
      <c r="E208" s="25">
        <f t="shared" ref="E208:F209" si="84">E175-E186+E197</f>
        <v>8.3333333333333339</v>
      </c>
      <c r="F208" s="25">
        <f t="shared" si="84"/>
        <v>8.3333333333333339</v>
      </c>
      <c r="G208" s="25"/>
      <c r="W208" s="61" t="s">
        <v>282</v>
      </c>
    </row>
    <row r="209" spans="3:23" x14ac:dyDescent="0.35">
      <c r="C209" s="4">
        <f>C164</f>
        <v>2021</v>
      </c>
      <c r="D209" s="25"/>
      <c r="E209" s="25">
        <f t="shared" si="84"/>
        <v>0</v>
      </c>
      <c r="F209" s="25">
        <f t="shared" si="84"/>
        <v>0</v>
      </c>
      <c r="G209" s="25">
        <f>G176-G187+G198</f>
        <v>0</v>
      </c>
    </row>
    <row r="210" spans="3:23" x14ac:dyDescent="0.35">
      <c r="C210" s="4">
        <f>C165</f>
        <v>2022</v>
      </c>
    </row>
    <row r="211" spans="3:23" x14ac:dyDescent="0.35">
      <c r="C211" s="4">
        <f>C166</f>
        <v>2023</v>
      </c>
    </row>
    <row r="212" spans="3:23" x14ac:dyDescent="0.35">
      <c r="C212" s="4">
        <f>C167</f>
        <v>2024</v>
      </c>
    </row>
    <row r="213" spans="3:23" x14ac:dyDescent="0.35">
      <c r="C213" s="5" t="s">
        <v>4</v>
      </c>
      <c r="D213" s="21">
        <f>SUM(D208:D212)</f>
        <v>0</v>
      </c>
      <c r="E213" s="21">
        <f t="shared" ref="E213:J213" si="85">SUM(E208:E212)</f>
        <v>8.3333333333333339</v>
      </c>
      <c r="F213" s="21">
        <f t="shared" si="85"/>
        <v>8.3333333333333339</v>
      </c>
      <c r="G213" s="21">
        <f t="shared" si="85"/>
        <v>0</v>
      </c>
      <c r="H213" s="21">
        <f t="shared" si="85"/>
        <v>0</v>
      </c>
      <c r="I213" s="21">
        <f t="shared" si="85"/>
        <v>0</v>
      </c>
      <c r="J213" s="21">
        <f t="shared" si="85"/>
        <v>0</v>
      </c>
      <c r="K213" s="12">
        <f>SUM(D213:J213)</f>
        <v>16.666666666666668</v>
      </c>
    </row>
    <row r="215" spans="3:23" x14ac:dyDescent="0.35">
      <c r="C215" s="1" t="s">
        <v>468</v>
      </c>
    </row>
    <row r="216" spans="3:23" x14ac:dyDescent="0.35">
      <c r="C216" s="4" t="s">
        <v>110</v>
      </c>
      <c r="D216" s="126" t="s">
        <v>39</v>
      </c>
      <c r="E216" s="126"/>
      <c r="F216" s="126"/>
      <c r="G216" s="126"/>
      <c r="H216" s="126"/>
      <c r="I216" s="126"/>
      <c r="J216" s="126"/>
      <c r="K216" s="2"/>
    </row>
    <row r="217" spans="3:23" x14ac:dyDescent="0.35">
      <c r="C217" s="4" t="s">
        <v>1</v>
      </c>
      <c r="D217" s="5">
        <v>2020</v>
      </c>
      <c r="E217" s="5">
        <v>2021</v>
      </c>
      <c r="F217" s="5">
        <v>2022</v>
      </c>
      <c r="G217" s="5">
        <v>2023</v>
      </c>
      <c r="H217" s="5">
        <v>2024</v>
      </c>
      <c r="I217" s="5">
        <v>2025</v>
      </c>
      <c r="J217" s="5">
        <v>2026</v>
      </c>
      <c r="K217" s="10" t="s">
        <v>4</v>
      </c>
      <c r="W217" s="61" t="s">
        <v>283</v>
      </c>
    </row>
    <row r="218" spans="3:23" x14ac:dyDescent="0.35">
      <c r="C218" s="4">
        <f>C208</f>
        <v>2020</v>
      </c>
      <c r="D218" s="25">
        <f>'C - Rec. Tests at Dec 31, 2019'!E134</f>
        <v>2.0607649475996954</v>
      </c>
      <c r="E218" s="25">
        <f>'C - Rec. Tests at Dec 31, 2019'!F134</f>
        <v>1.3539257277582437</v>
      </c>
      <c r="F218" s="25">
        <f>'C - Rec. Tests at Dec 31, 2019'!G134</f>
        <v>0.76552487493317656</v>
      </c>
      <c r="G218" s="25">
        <f>'C - Rec. Tests at Dec 31, 2019'!H134</f>
        <v>1.6638643954321712</v>
      </c>
      <c r="H218" s="25">
        <f>'C - Rec. Tests at Dec 31, 2019'!I134</f>
        <v>1.4974779558889544</v>
      </c>
      <c r="I218" s="30"/>
      <c r="J218" s="30"/>
      <c r="W218" s="61" t="s">
        <v>284</v>
      </c>
    </row>
    <row r="219" spans="3:23" x14ac:dyDescent="0.35">
      <c r="C219" s="4">
        <f>C209</f>
        <v>2021</v>
      </c>
      <c r="D219" s="25"/>
      <c r="E219" s="25">
        <f>'C - Rec. Tests at Dec 31, 2019'!F135</f>
        <v>1.504361919731382</v>
      </c>
      <c r="F219" s="25">
        <f>'C - Rec. Tests at Dec 31, 2019'!G135</f>
        <v>0.85058319437019603</v>
      </c>
      <c r="G219" s="25">
        <f>'C - Rec. Tests at Dec 31, 2019'!H135</f>
        <v>1.8487382171468569</v>
      </c>
      <c r="H219" s="25">
        <f>'C - Rec. Tests at Dec 31, 2019'!I135</f>
        <v>1.6638643954321712</v>
      </c>
      <c r="I219" s="30"/>
      <c r="J219" s="30"/>
      <c r="W219" s="61" t="s">
        <v>365</v>
      </c>
    </row>
    <row r="220" spans="3:23" x14ac:dyDescent="0.35">
      <c r="C220" s="4">
        <f>C210</f>
        <v>2022</v>
      </c>
      <c r="D220" s="25"/>
      <c r="E220" s="25"/>
      <c r="F220" s="25">
        <f>'C - Rec. Tests at Dec 31, 2019'!G136</f>
        <v>0.94509243818910693</v>
      </c>
      <c r="G220" s="25">
        <f>'C - Rec. Tests at Dec 31, 2019'!H136</f>
        <v>2.0541535746076187</v>
      </c>
      <c r="H220" s="25">
        <f>'C - Rec. Tests at Dec 31, 2019'!I136</f>
        <v>1.8487382171468569</v>
      </c>
      <c r="I220" s="30"/>
      <c r="J220" s="30"/>
    </row>
    <row r="221" spans="3:23" x14ac:dyDescent="0.35">
      <c r="C221" s="4">
        <f>C211</f>
        <v>2023</v>
      </c>
      <c r="D221" s="25"/>
      <c r="E221" s="25"/>
      <c r="F221" s="25"/>
      <c r="G221" s="25">
        <f>'C - Rec. Tests at Dec 31, 2019'!H137</f>
        <v>2.2823928606751323</v>
      </c>
      <c r="H221" s="25">
        <f>'C - Rec. Tests at Dec 31, 2019'!I137</f>
        <v>2.0541535746076187</v>
      </c>
      <c r="I221" s="30"/>
      <c r="J221" s="30"/>
    </row>
    <row r="222" spans="3:23" x14ac:dyDescent="0.35">
      <c r="C222" s="4">
        <f>C212</f>
        <v>2024</v>
      </c>
      <c r="D222" s="25"/>
      <c r="E222" s="25"/>
      <c r="F222" s="25"/>
      <c r="G222" s="25"/>
      <c r="H222" s="25">
        <f>'C - Rec. Tests at Dec 31, 2019'!I138</f>
        <v>2.2823928606751323</v>
      </c>
      <c r="I222" s="30"/>
      <c r="J222" s="30"/>
    </row>
    <row r="223" spans="3:23" x14ac:dyDescent="0.35">
      <c r="C223" s="5" t="s">
        <v>4</v>
      </c>
      <c r="D223" s="21">
        <f>SUM(D218:D222)</f>
        <v>2.0607649475996954</v>
      </c>
      <c r="E223" s="21">
        <f t="shared" ref="E223:J223" si="86">SUM(E218:E222)</f>
        <v>2.8582876474896257</v>
      </c>
      <c r="F223" s="21">
        <f t="shared" si="86"/>
        <v>2.5612005074924795</v>
      </c>
      <c r="G223" s="21">
        <f t="shared" si="86"/>
        <v>7.8491490478617791</v>
      </c>
      <c r="H223" s="21">
        <f t="shared" si="86"/>
        <v>9.3466270037507329</v>
      </c>
      <c r="I223" s="21">
        <f t="shared" si="86"/>
        <v>0</v>
      </c>
      <c r="J223" s="21">
        <f t="shared" si="86"/>
        <v>0</v>
      </c>
      <c r="K223" s="12">
        <f>SUM(D223:J223)</f>
        <v>24.67602915419431</v>
      </c>
    </row>
    <row r="225" spans="3:23" x14ac:dyDescent="0.35">
      <c r="C225" s="1" t="s">
        <v>469</v>
      </c>
    </row>
    <row r="226" spans="3:23" x14ac:dyDescent="0.35">
      <c r="C226" s="4" t="s">
        <v>110</v>
      </c>
      <c r="D226" s="126" t="s">
        <v>39</v>
      </c>
      <c r="E226" s="126"/>
      <c r="F226" s="126"/>
      <c r="G226" s="126"/>
      <c r="H226" s="126"/>
      <c r="I226" s="126"/>
      <c r="J226" s="126"/>
      <c r="K226" s="2"/>
    </row>
    <row r="227" spans="3:23" x14ac:dyDescent="0.35">
      <c r="C227" s="4" t="s">
        <v>1</v>
      </c>
      <c r="D227" s="5">
        <v>2020</v>
      </c>
      <c r="E227" s="5">
        <v>2021</v>
      </c>
      <c r="F227" s="5">
        <v>2022</v>
      </c>
      <c r="G227" s="5">
        <v>2023</v>
      </c>
      <c r="H227" s="5">
        <v>2024</v>
      </c>
      <c r="I227" s="5">
        <v>2025</v>
      </c>
      <c r="J227" s="5">
        <v>2026</v>
      </c>
      <c r="K227" s="10" t="s">
        <v>4</v>
      </c>
      <c r="W227" s="61" t="s">
        <v>291</v>
      </c>
    </row>
    <row r="228" spans="3:23" x14ac:dyDescent="0.35">
      <c r="C228" s="4">
        <f>C218</f>
        <v>2020</v>
      </c>
      <c r="D228" s="25">
        <f>D218</f>
        <v>2.0607649475996954</v>
      </c>
      <c r="E228" s="25">
        <v>0</v>
      </c>
      <c r="F228" s="25">
        <v>0</v>
      </c>
      <c r="G228" s="25">
        <v>0</v>
      </c>
      <c r="H228" s="25">
        <v>0</v>
      </c>
      <c r="I228" s="30"/>
      <c r="J228" s="30"/>
      <c r="W228" s="61" t="s">
        <v>470</v>
      </c>
    </row>
    <row r="229" spans="3:23" x14ac:dyDescent="0.35">
      <c r="C229" s="4">
        <f>C219</f>
        <v>2021</v>
      </c>
      <c r="D229" s="25"/>
      <c r="E229" s="25">
        <v>0</v>
      </c>
      <c r="F229" s="25">
        <v>0</v>
      </c>
      <c r="G229" s="25">
        <v>0</v>
      </c>
      <c r="H229" s="25">
        <v>0</v>
      </c>
      <c r="I229" s="30"/>
      <c r="J229" s="30"/>
      <c r="W229" s="61" t="s">
        <v>292</v>
      </c>
    </row>
    <row r="230" spans="3:23" x14ac:dyDescent="0.35">
      <c r="C230" s="4">
        <f>C220</f>
        <v>2022</v>
      </c>
      <c r="D230" s="25"/>
      <c r="E230" s="25"/>
      <c r="F230" s="25">
        <f>'C - Rec. Tests at Dec 31, 2019'!G147</f>
        <v>0</v>
      </c>
      <c r="G230" s="25">
        <v>0</v>
      </c>
      <c r="H230" s="25">
        <v>0</v>
      </c>
      <c r="I230" s="30"/>
      <c r="J230" s="30"/>
    </row>
    <row r="231" spans="3:23" x14ac:dyDescent="0.35">
      <c r="C231" s="4">
        <f>C221</f>
        <v>2023</v>
      </c>
      <c r="D231" s="25"/>
      <c r="E231" s="25"/>
      <c r="F231" s="25"/>
      <c r="G231" s="25">
        <v>0</v>
      </c>
      <c r="H231" s="25">
        <v>0</v>
      </c>
      <c r="I231" s="30"/>
      <c r="J231" s="30"/>
    </row>
    <row r="232" spans="3:23" x14ac:dyDescent="0.35">
      <c r="C232" s="4">
        <f>C222</f>
        <v>2024</v>
      </c>
      <c r="D232" s="25"/>
      <c r="E232" s="25"/>
      <c r="F232" s="25"/>
      <c r="G232" s="25"/>
      <c r="H232" s="25">
        <v>0</v>
      </c>
      <c r="I232" s="30"/>
      <c r="J232" s="30"/>
    </row>
    <row r="233" spans="3:23" x14ac:dyDescent="0.35">
      <c r="C233" s="5" t="s">
        <v>4</v>
      </c>
      <c r="D233" s="21">
        <f>SUM(D228:D232)</f>
        <v>2.0607649475996954</v>
      </c>
      <c r="E233" s="21">
        <f t="shared" ref="E233" si="87">SUM(E228:E232)</f>
        <v>0</v>
      </c>
      <c r="F233" s="21">
        <f t="shared" ref="F233" si="88">SUM(F228:F232)</f>
        <v>0</v>
      </c>
      <c r="G233" s="21">
        <f t="shared" ref="G233" si="89">SUM(G228:G232)</f>
        <v>0</v>
      </c>
      <c r="H233" s="21">
        <f t="shared" ref="H233" si="90">SUM(H228:H232)</f>
        <v>0</v>
      </c>
      <c r="I233" s="21">
        <f t="shared" ref="I233" si="91">SUM(I228:I232)</f>
        <v>0</v>
      </c>
      <c r="J233" s="21">
        <f t="shared" ref="J233" si="92">SUM(J228:J232)</f>
        <v>0</v>
      </c>
      <c r="K233" s="12">
        <f>SUM(D233:J233)</f>
        <v>2.0607649475996954</v>
      </c>
    </row>
    <row r="235" spans="3:23" x14ac:dyDescent="0.35">
      <c r="C235" s="1" t="s">
        <v>471</v>
      </c>
    </row>
    <row r="236" spans="3:23" x14ac:dyDescent="0.35">
      <c r="C236" s="4" t="s">
        <v>110</v>
      </c>
      <c r="D236" s="126" t="s">
        <v>39</v>
      </c>
      <c r="E236" s="126"/>
      <c r="F236" s="126"/>
      <c r="G236" s="126"/>
      <c r="H236" s="126"/>
      <c r="I236" s="126"/>
      <c r="J236" s="126"/>
      <c r="K236" s="2"/>
    </row>
    <row r="237" spans="3:23" x14ac:dyDescent="0.35">
      <c r="C237" s="4" t="s">
        <v>1</v>
      </c>
      <c r="D237" s="5">
        <v>2020</v>
      </c>
      <c r="E237" s="5">
        <v>2021</v>
      </c>
      <c r="F237" s="5">
        <v>2022</v>
      </c>
      <c r="G237" s="5">
        <v>2023</v>
      </c>
      <c r="H237" s="5">
        <v>2024</v>
      </c>
      <c r="I237" s="5">
        <v>2025</v>
      </c>
      <c r="J237" s="5">
        <v>2026</v>
      </c>
      <c r="K237" s="10" t="s">
        <v>4</v>
      </c>
      <c r="W237" s="61" t="s">
        <v>285</v>
      </c>
    </row>
    <row r="238" spans="3:23" x14ac:dyDescent="0.35">
      <c r="C238" s="4">
        <f>C228</f>
        <v>2020</v>
      </c>
      <c r="D238" s="25">
        <v>0</v>
      </c>
      <c r="E238" s="25">
        <v>0</v>
      </c>
      <c r="F238" s="25">
        <v>0</v>
      </c>
      <c r="G238" s="25">
        <v>0</v>
      </c>
      <c r="H238" s="25">
        <v>0</v>
      </c>
      <c r="I238" s="30"/>
      <c r="J238" s="30"/>
      <c r="W238" s="61" t="s">
        <v>286</v>
      </c>
    </row>
    <row r="239" spans="3:23" x14ac:dyDescent="0.35">
      <c r="C239" s="4">
        <f>C229</f>
        <v>2021</v>
      </c>
      <c r="D239" s="25"/>
      <c r="E239" s="25">
        <v>0</v>
      </c>
      <c r="F239" s="25">
        <v>0</v>
      </c>
      <c r="G239" s="25">
        <v>0</v>
      </c>
      <c r="H239" s="25">
        <v>0</v>
      </c>
      <c r="I239" s="30"/>
      <c r="J239" s="30"/>
    </row>
    <row r="240" spans="3:23" x14ac:dyDescent="0.35">
      <c r="C240" s="4">
        <f>C230</f>
        <v>2022</v>
      </c>
      <c r="D240" s="25"/>
      <c r="E240" s="25"/>
      <c r="F240" s="25">
        <f>'C - Rec. Tests at Dec 31, 2019'!G158</f>
        <v>0</v>
      </c>
      <c r="G240" s="25">
        <v>0</v>
      </c>
      <c r="H240" s="25">
        <v>0</v>
      </c>
      <c r="I240" s="30"/>
      <c r="J240" s="30"/>
    </row>
    <row r="241" spans="3:23" x14ac:dyDescent="0.35">
      <c r="C241" s="4">
        <f>C231</f>
        <v>2023</v>
      </c>
      <c r="D241" s="25"/>
      <c r="E241" s="25"/>
      <c r="F241" s="25"/>
      <c r="G241" s="25">
        <v>0</v>
      </c>
      <c r="H241" s="25">
        <v>0</v>
      </c>
      <c r="I241" s="30"/>
      <c r="J241" s="30"/>
    </row>
    <row r="242" spans="3:23" x14ac:dyDescent="0.35">
      <c r="C242" s="4">
        <f>C232</f>
        <v>2024</v>
      </c>
      <c r="D242" s="25"/>
      <c r="E242" s="25"/>
      <c r="F242" s="25"/>
      <c r="G242" s="25"/>
      <c r="H242" s="25">
        <v>0</v>
      </c>
      <c r="I242" s="30"/>
      <c r="J242" s="30"/>
    </row>
    <row r="243" spans="3:23" x14ac:dyDescent="0.35">
      <c r="C243" s="5" t="s">
        <v>4</v>
      </c>
      <c r="D243" s="21">
        <f>SUM(D238:D242)</f>
        <v>0</v>
      </c>
      <c r="E243" s="21">
        <f t="shared" ref="E243" si="93">SUM(E238:E242)</f>
        <v>0</v>
      </c>
      <c r="F243" s="21">
        <f t="shared" ref="F243" si="94">SUM(F238:F242)</f>
        <v>0</v>
      </c>
      <c r="G243" s="21">
        <f t="shared" ref="G243" si="95">SUM(G238:G242)</f>
        <v>0</v>
      </c>
      <c r="H243" s="21">
        <f t="shared" ref="H243" si="96">SUM(H238:H242)</f>
        <v>0</v>
      </c>
      <c r="I243" s="21">
        <f t="shared" ref="I243" si="97">SUM(I238:I242)</f>
        <v>0</v>
      </c>
      <c r="J243" s="21">
        <f t="shared" ref="J243" si="98">SUM(J238:J242)</f>
        <v>0</v>
      </c>
      <c r="K243" s="12">
        <f>SUM(D243:J243)</f>
        <v>0</v>
      </c>
    </row>
    <row r="245" spans="3:23" x14ac:dyDescent="0.35">
      <c r="C245" s="131" t="s">
        <v>472</v>
      </c>
      <c r="D245" s="131"/>
      <c r="E245" s="131"/>
      <c r="F245" s="131"/>
      <c r="G245" s="131"/>
      <c r="H245" s="131"/>
      <c r="I245" s="131"/>
      <c r="J245" s="131"/>
      <c r="K245" s="131"/>
    </row>
    <row r="246" spans="3:23" x14ac:dyDescent="0.35">
      <c r="C246" s="131"/>
      <c r="D246" s="131"/>
      <c r="E246" s="131"/>
      <c r="F246" s="131"/>
      <c r="G246" s="131"/>
      <c r="H246" s="131"/>
      <c r="I246" s="131"/>
      <c r="J246" s="131"/>
      <c r="K246" s="131"/>
    </row>
    <row r="247" spans="3:23" x14ac:dyDescent="0.35">
      <c r="C247" s="4" t="s">
        <v>110</v>
      </c>
      <c r="D247" s="126" t="s">
        <v>39</v>
      </c>
      <c r="E247" s="126"/>
      <c r="F247" s="126"/>
      <c r="G247" s="126"/>
      <c r="H247" s="126"/>
      <c r="I247" s="126"/>
      <c r="J247" s="126"/>
      <c r="K247" s="2"/>
    </row>
    <row r="248" spans="3:23" x14ac:dyDescent="0.35">
      <c r="C248" s="4" t="s">
        <v>1</v>
      </c>
      <c r="D248" s="5">
        <v>2020</v>
      </c>
      <c r="E248" s="5">
        <v>2021</v>
      </c>
      <c r="F248" s="5">
        <v>2022</v>
      </c>
      <c r="G248" s="5">
        <v>2023</v>
      </c>
      <c r="H248" s="5">
        <v>2024</v>
      </c>
      <c r="I248" s="5">
        <v>2025</v>
      </c>
      <c r="J248" s="5">
        <v>2026</v>
      </c>
      <c r="K248" s="10" t="s">
        <v>4</v>
      </c>
      <c r="W248" s="61" t="s">
        <v>287</v>
      </c>
    </row>
    <row r="249" spans="3:23" x14ac:dyDescent="0.35">
      <c r="C249" s="4">
        <f>C238</f>
        <v>2020</v>
      </c>
      <c r="D249" s="25">
        <f>D218-D228+D238</f>
        <v>0</v>
      </c>
      <c r="E249" s="25">
        <f>E218-E228+E238</f>
        <v>1.3539257277582437</v>
      </c>
      <c r="F249" s="25">
        <f>F218-F228+F238</f>
        <v>0.76552487493317656</v>
      </c>
      <c r="G249" s="25">
        <f>G218-G228+G238</f>
        <v>1.6638643954321712</v>
      </c>
      <c r="H249" s="25">
        <f>H218-H228+H238</f>
        <v>1.4974779558889544</v>
      </c>
      <c r="I249" s="30"/>
      <c r="J249" s="30"/>
      <c r="W249" s="61" t="s">
        <v>288</v>
      </c>
    </row>
    <row r="250" spans="3:23" x14ac:dyDescent="0.35">
      <c r="C250" s="4">
        <f t="shared" ref="C250:C253" si="99">C239</f>
        <v>2021</v>
      </c>
      <c r="D250" s="25"/>
      <c r="E250" s="25">
        <f>E219-E229+E239</f>
        <v>1.504361919731382</v>
      </c>
      <c r="F250" s="25">
        <f>F219-F229+F239</f>
        <v>0.85058319437019603</v>
      </c>
      <c r="G250" s="25">
        <f>G219-G229+G239</f>
        <v>1.8487382171468569</v>
      </c>
      <c r="H250" s="25">
        <f>H219-H229+H239</f>
        <v>1.6638643954321712</v>
      </c>
      <c r="I250" s="30"/>
      <c r="J250" s="30"/>
    </row>
    <row r="251" spans="3:23" x14ac:dyDescent="0.35">
      <c r="C251" s="4">
        <f t="shared" si="99"/>
        <v>2022</v>
      </c>
      <c r="D251" s="25"/>
      <c r="E251" s="25"/>
      <c r="F251" s="25">
        <f>F220-F230+F240</f>
        <v>0.94509243818910693</v>
      </c>
      <c r="G251" s="25">
        <f>G220-G230+G240</f>
        <v>2.0541535746076187</v>
      </c>
      <c r="H251" s="25">
        <f>H220-H230+H240</f>
        <v>1.8487382171468569</v>
      </c>
      <c r="I251" s="30"/>
      <c r="J251" s="30"/>
    </row>
    <row r="252" spans="3:23" x14ac:dyDescent="0.35">
      <c r="C252" s="4">
        <f t="shared" si="99"/>
        <v>2023</v>
      </c>
      <c r="D252" s="25"/>
      <c r="E252" s="25"/>
      <c r="F252" s="25"/>
      <c r="G252" s="25">
        <f>G221-G231+G241</f>
        <v>2.2823928606751323</v>
      </c>
      <c r="H252" s="25">
        <f>H221-H231+H241</f>
        <v>2.0541535746076187</v>
      </c>
      <c r="I252" s="30"/>
      <c r="J252" s="30"/>
    </row>
    <row r="253" spans="3:23" x14ac:dyDescent="0.35">
      <c r="C253" s="4">
        <f t="shared" si="99"/>
        <v>2024</v>
      </c>
      <c r="D253" s="25"/>
      <c r="E253" s="25"/>
      <c r="F253" s="25"/>
      <c r="G253" s="25"/>
      <c r="H253" s="25">
        <f>H222-H232+H242</f>
        <v>2.2823928606751323</v>
      </c>
      <c r="I253" s="30"/>
      <c r="J253" s="30"/>
    </row>
    <row r="254" spans="3:23" x14ac:dyDescent="0.35">
      <c r="C254" s="5" t="s">
        <v>4</v>
      </c>
      <c r="D254" s="21">
        <f>SUM(D249:D253)</f>
        <v>0</v>
      </c>
      <c r="E254" s="21">
        <f t="shared" ref="E254" si="100">SUM(E249:E253)</f>
        <v>2.8582876474896257</v>
      </c>
      <c r="F254" s="21">
        <f t="shared" ref="F254" si="101">SUM(F249:F253)</f>
        <v>2.5612005074924795</v>
      </c>
      <c r="G254" s="21">
        <f t="shared" ref="G254" si="102">SUM(G249:G253)</f>
        <v>7.8491490478617791</v>
      </c>
      <c r="H254" s="21">
        <f t="shared" ref="H254" si="103">SUM(H249:H253)</f>
        <v>9.3466270037507329</v>
      </c>
      <c r="I254" s="21">
        <f t="shared" ref="I254" si="104">SUM(I249:I253)</f>
        <v>0</v>
      </c>
      <c r="J254" s="21">
        <f t="shared" ref="J254" si="105">SUM(J249:J253)</f>
        <v>0</v>
      </c>
      <c r="K254" s="12">
        <f>SUM(D254:J254)</f>
        <v>22.615264206594617</v>
      </c>
    </row>
    <row r="256" spans="3:23" ht="30" customHeight="1" x14ac:dyDescent="0.35">
      <c r="C256" s="131" t="s">
        <v>473</v>
      </c>
      <c r="D256" s="131"/>
      <c r="E256" s="131"/>
      <c r="F256" s="131"/>
      <c r="G256" s="131"/>
      <c r="H256" s="131"/>
      <c r="I256" s="131"/>
      <c r="J256" s="131"/>
      <c r="K256" s="131"/>
    </row>
    <row r="257" spans="3:23" x14ac:dyDescent="0.35">
      <c r="C257" s="4" t="s">
        <v>110</v>
      </c>
      <c r="D257" s="126" t="s">
        <v>39</v>
      </c>
      <c r="E257" s="126"/>
      <c r="F257" s="126"/>
      <c r="G257" s="126"/>
      <c r="H257" s="126"/>
      <c r="I257" s="126"/>
      <c r="J257" s="126"/>
      <c r="K257" s="2"/>
      <c r="W257" s="61" t="s">
        <v>289</v>
      </c>
    </row>
    <row r="258" spans="3:23" x14ac:dyDescent="0.35">
      <c r="C258" s="4" t="s">
        <v>1</v>
      </c>
      <c r="D258" s="5">
        <v>2020</v>
      </c>
      <c r="E258" s="5">
        <v>2021</v>
      </c>
      <c r="F258" s="5">
        <v>2022</v>
      </c>
      <c r="G258" s="5">
        <v>2023</v>
      </c>
      <c r="H258" s="5">
        <v>2024</v>
      </c>
      <c r="I258" s="5">
        <v>2025</v>
      </c>
      <c r="J258" s="5">
        <v>2026</v>
      </c>
      <c r="K258" s="10" t="s">
        <v>4</v>
      </c>
      <c r="W258" s="61" t="s">
        <v>290</v>
      </c>
    </row>
    <row r="259" spans="3:23" x14ac:dyDescent="0.35">
      <c r="C259" s="4">
        <f>C163</f>
        <v>2020</v>
      </c>
      <c r="D259" s="25">
        <f>D249+D208</f>
        <v>0</v>
      </c>
      <c r="E259" s="25">
        <f>E249+E208</f>
        <v>9.6872590610915772</v>
      </c>
      <c r="F259" s="25">
        <f>F249+F208</f>
        <v>9.0988582082665097</v>
      </c>
      <c r="G259" s="25">
        <f>G249+G208</f>
        <v>1.6638643954321712</v>
      </c>
      <c r="H259" s="25">
        <f>H249+H208</f>
        <v>1.4974779558889544</v>
      </c>
      <c r="M259" s="30"/>
      <c r="N259" s="30"/>
      <c r="O259" s="30"/>
      <c r="P259" s="30"/>
      <c r="Q259" s="30"/>
      <c r="R259" s="30"/>
    </row>
    <row r="260" spans="3:23" x14ac:dyDescent="0.35">
      <c r="C260" s="4">
        <f>C164</f>
        <v>2021</v>
      </c>
      <c r="D260" s="25"/>
      <c r="E260" s="25">
        <f>E250+E209</f>
        <v>1.504361919731382</v>
      </c>
      <c r="F260" s="25">
        <f>F250+F209</f>
        <v>0.85058319437019603</v>
      </c>
      <c r="G260" s="25">
        <f>G250+G209</f>
        <v>1.8487382171468569</v>
      </c>
      <c r="H260" s="25">
        <f>H250+H209</f>
        <v>1.6638643954321712</v>
      </c>
      <c r="M260" s="30"/>
      <c r="N260" s="30"/>
      <c r="O260" s="30"/>
      <c r="P260" s="30"/>
      <c r="Q260" s="30"/>
      <c r="R260" s="30"/>
    </row>
    <row r="261" spans="3:23" x14ac:dyDescent="0.35">
      <c r="C261" s="4">
        <f>C165</f>
        <v>2022</v>
      </c>
      <c r="D261" s="25"/>
      <c r="E261" s="25"/>
      <c r="F261" s="25">
        <f>F251+F210</f>
        <v>0.94509243818910693</v>
      </c>
      <c r="G261" s="25">
        <f>G251+G210</f>
        <v>2.0541535746076187</v>
      </c>
      <c r="H261" s="25">
        <f>H251+H210</f>
        <v>1.8487382171468569</v>
      </c>
      <c r="M261" s="30"/>
      <c r="N261" s="30"/>
      <c r="O261" s="30"/>
      <c r="P261" s="30"/>
      <c r="Q261" s="30"/>
      <c r="R261" s="30"/>
    </row>
    <row r="262" spans="3:23" x14ac:dyDescent="0.35">
      <c r="C262" s="4">
        <f>C166</f>
        <v>2023</v>
      </c>
      <c r="D262" s="25"/>
      <c r="E262" s="25"/>
      <c r="F262" s="25"/>
      <c r="G262" s="25">
        <f>G252+G211</f>
        <v>2.2823928606751323</v>
      </c>
      <c r="H262" s="25">
        <f>H252+H211</f>
        <v>2.0541535746076187</v>
      </c>
      <c r="M262" s="30"/>
      <c r="N262" s="30"/>
      <c r="O262" s="30"/>
      <c r="P262" s="30"/>
      <c r="Q262" s="30"/>
      <c r="R262" s="30"/>
    </row>
    <row r="263" spans="3:23" x14ac:dyDescent="0.35">
      <c r="C263" s="4">
        <f>C167</f>
        <v>2024</v>
      </c>
      <c r="D263" s="25"/>
      <c r="E263" s="25"/>
      <c r="F263" s="25"/>
      <c r="G263" s="25"/>
      <c r="H263" s="25">
        <f>H253+H212</f>
        <v>2.2823928606751323</v>
      </c>
      <c r="M263" s="30"/>
      <c r="N263" s="30"/>
      <c r="O263" s="30"/>
      <c r="P263" s="30"/>
      <c r="Q263" s="30"/>
      <c r="R263" s="30"/>
    </row>
    <row r="264" spans="3:23" x14ac:dyDescent="0.35">
      <c r="C264" s="5" t="s">
        <v>4</v>
      </c>
      <c r="D264" s="21">
        <f>SUM(D259:D263)</f>
        <v>0</v>
      </c>
      <c r="E264" s="21">
        <f t="shared" ref="E264:J264" si="106">SUM(E259:E263)</f>
        <v>11.191620980822959</v>
      </c>
      <c r="F264" s="21">
        <f t="shared" si="106"/>
        <v>10.894533840825813</v>
      </c>
      <c r="G264" s="21">
        <f t="shared" si="106"/>
        <v>7.8491490478617791</v>
      </c>
      <c r="H264" s="21">
        <f t="shared" si="106"/>
        <v>9.3466270037507329</v>
      </c>
      <c r="I264" s="21">
        <f t="shared" si="106"/>
        <v>0</v>
      </c>
      <c r="J264" s="21">
        <f t="shared" si="106"/>
        <v>0</v>
      </c>
      <c r="K264" s="12">
        <f>SUM(D264:J264)</f>
        <v>39.281930873261288</v>
      </c>
      <c r="M264" s="30"/>
      <c r="N264" s="30"/>
      <c r="O264" s="30"/>
      <c r="P264" s="30"/>
      <c r="Q264" s="30"/>
      <c r="R264" s="30"/>
    </row>
  </sheetData>
  <mergeCells count="53">
    <mergeCell ref="M149:U149"/>
    <mergeCell ref="C149:K149"/>
    <mergeCell ref="C171:K172"/>
    <mergeCell ref="C182:K183"/>
    <mergeCell ref="C256:K256"/>
    <mergeCell ref="C245:K246"/>
    <mergeCell ref="C204:K205"/>
    <mergeCell ref="C193:K194"/>
    <mergeCell ref="M160:U160"/>
    <mergeCell ref="C119:K119"/>
    <mergeCell ref="M119:U119"/>
    <mergeCell ref="C129:K129"/>
    <mergeCell ref="M129:U129"/>
    <mergeCell ref="C139:K139"/>
    <mergeCell ref="M139:U139"/>
    <mergeCell ref="D257:J257"/>
    <mergeCell ref="D184:J184"/>
    <mergeCell ref="D173:J173"/>
    <mergeCell ref="D195:J195"/>
    <mergeCell ref="D226:J226"/>
    <mergeCell ref="D236:J236"/>
    <mergeCell ref="D247:J247"/>
    <mergeCell ref="G38:M38"/>
    <mergeCell ref="D161:J161"/>
    <mergeCell ref="N161:T161"/>
    <mergeCell ref="D206:J206"/>
    <mergeCell ref="D216:J216"/>
    <mergeCell ref="D150:J150"/>
    <mergeCell ref="N150:T150"/>
    <mergeCell ref="D120:J120"/>
    <mergeCell ref="N120:T120"/>
    <mergeCell ref="D130:J130"/>
    <mergeCell ref="N130:T130"/>
    <mergeCell ref="D140:J140"/>
    <mergeCell ref="N140:T140"/>
    <mergeCell ref="D90:J90"/>
    <mergeCell ref="N90:T90"/>
    <mergeCell ref="D100:J100"/>
    <mergeCell ref="N100:T100"/>
    <mergeCell ref="D110:J110"/>
    <mergeCell ref="N110:T110"/>
    <mergeCell ref="C60:J60"/>
    <mergeCell ref="D61:J61"/>
    <mergeCell ref="D70:J70"/>
    <mergeCell ref="N70:T70"/>
    <mergeCell ref="D80:J80"/>
    <mergeCell ref="N80:T80"/>
    <mergeCell ref="C89:K89"/>
    <mergeCell ref="M89:U89"/>
    <mergeCell ref="C99:K99"/>
    <mergeCell ref="M99:U99"/>
    <mergeCell ref="C109:K109"/>
    <mergeCell ref="M109:U109"/>
  </mergeCells>
  <dataValidations count="4">
    <dataValidation type="decimal" operator="greaterThanOrEqual" allowBlank="1" showInputMessage="1" showErrorMessage="1" sqref="G40:M40" xr:uid="{00000000-0002-0000-0400-000000000000}">
      <formula1>0</formula1>
    </dataValidation>
    <dataValidation type="decimal" operator="greaterThan" allowBlank="1" showInputMessage="1" showErrorMessage="1" sqref="D26 D24" xr:uid="{00000000-0002-0000-0400-000001000000}">
      <formula1>0</formula1>
    </dataValidation>
    <dataValidation type="whole" operator="greaterThan" allowBlank="1" showInputMessage="1" showErrorMessage="1" sqref="F8 H22 H32" xr:uid="{00000000-0002-0000-0400-000002000000}">
      <formula1>0</formula1>
    </dataValidation>
    <dataValidation type="decimal" allowBlank="1" showInputMessage="1" showErrorMessage="1" sqref="F17" xr:uid="{00000000-0002-0000-0400-000003000000}">
      <formula1>0</formula1>
      <formula2>100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4000000}">
          <x14:formula1>
            <xm:f>'0 - Inputs and Results'!$N$2:$N$3</xm:f>
          </x14:formula1>
          <xm:sqref>F13</xm:sqref>
        </x14:dataValidation>
        <x14:dataValidation type="decimal" allowBlank="1" showInputMessage="1" showErrorMessage="1" xr:uid="{00000000-0002-0000-0400-000005000000}">
          <x14:formula1>
            <xm:f>'A - Base data at Dec 31, 2019'!H14</xm:f>
          </x14:formula1>
          <x14:formula2>
            <xm:f>1</xm:f>
          </x14:formula2>
          <xm:sqref>H16</xm:sqref>
        </x14:dataValidation>
        <x14:dataValidation type="decimal" allowBlank="1" showInputMessage="1" showErrorMessage="1" xr:uid="{00000000-0002-0000-0400-000006000000}">
          <x14:formula1>
            <xm:f>0</xm:f>
          </x14:formula1>
          <x14:formula2>
            <xm:f>'A - Base data at Dec 31, 2019'!K9</xm:f>
          </x14:formula2>
          <xm:sqref>K9</xm:sqref>
        </x14:dataValidation>
        <x14:dataValidation type="decimal" allowBlank="1" showInputMessage="1" showErrorMessage="1" xr:uid="{00000000-0002-0000-0400-000007000000}">
          <x14:formula1>
            <xm:f>0</xm:f>
          </x14:formula1>
          <x14:formula2>
            <xm:f>'A - Base data at Dec 31, 2019'!K9*100</xm:f>
          </x14:formula2>
          <xm:sqref>F10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64"/>
  <sheetViews>
    <sheetView topLeftCell="A40" zoomScaleNormal="100" workbookViewId="0">
      <selection activeCell="P57" sqref="P57"/>
    </sheetView>
  </sheetViews>
  <sheetFormatPr defaultColWidth="10.90625" defaultRowHeight="14.5" x14ac:dyDescent="0.35"/>
  <cols>
    <col min="1" max="1" width="2.1796875" customWidth="1"/>
    <col min="2" max="2" width="14.453125" customWidth="1"/>
    <col min="3" max="3" width="12.90625" customWidth="1"/>
    <col min="4" max="4" width="17.08984375" customWidth="1"/>
    <col min="5" max="5" width="12.453125" bestFit="1" customWidth="1"/>
    <col min="8" max="8" width="13.36328125" customWidth="1"/>
    <col min="11" max="11" width="23.90625" bestFit="1" customWidth="1"/>
    <col min="12" max="12" width="3.81640625" customWidth="1"/>
    <col min="13" max="13" width="15" bestFit="1" customWidth="1"/>
    <col min="14" max="14" width="1.90625" customWidth="1"/>
    <col min="16" max="16" width="44.1796875" style="61" customWidth="1"/>
  </cols>
  <sheetData>
    <row r="1" spans="1:16" x14ac:dyDescent="0.35">
      <c r="B1" s="22" t="s">
        <v>154</v>
      </c>
      <c r="P1" s="22" t="s">
        <v>155</v>
      </c>
    </row>
    <row r="4" spans="1:16" x14ac:dyDescent="0.35">
      <c r="A4" s="1"/>
      <c r="B4" t="s">
        <v>65</v>
      </c>
    </row>
    <row r="6" spans="1:16" x14ac:dyDescent="0.35">
      <c r="B6" t="s">
        <v>41</v>
      </c>
      <c r="C6" s="23" t="str">
        <f>IF('A - Base data at Dec 31, 2019'!$F$11=0,"not applicable","applicable")</f>
        <v>not applicable</v>
      </c>
      <c r="D6" t="s">
        <v>144</v>
      </c>
      <c r="E6" s="23" t="str">
        <f>IF('A - Base data at Dec 31, 2019'!$F$11=0,"have not","have")</f>
        <v>have not</v>
      </c>
      <c r="F6" t="s">
        <v>42</v>
      </c>
    </row>
    <row r="8" spans="1:16" x14ac:dyDescent="0.35">
      <c r="K8" t="s">
        <v>67</v>
      </c>
      <c r="M8" t="s">
        <v>69</v>
      </c>
      <c r="O8" s="17" t="s">
        <v>38</v>
      </c>
    </row>
    <row r="9" spans="1:16" x14ac:dyDescent="0.35">
      <c r="B9" t="s">
        <v>401</v>
      </c>
      <c r="I9" s="101" t="str">
        <f>IF(E6="have",ROUND(K9-M9-O9,2),"")</f>
        <v/>
      </c>
      <c r="J9" s="43" t="s">
        <v>66</v>
      </c>
      <c r="K9" s="25" t="str">
        <f>IF(E6="have",'D - Base data at Dec 31, 2020'!O168,"")</f>
        <v/>
      </c>
      <c r="L9" s="44" t="s">
        <v>68</v>
      </c>
      <c r="M9" s="25" t="str">
        <f>IF(E6="have",'D - Base data at Dec 31, 2020'!O133,"")</f>
        <v/>
      </c>
      <c r="N9" s="44" t="s">
        <v>68</v>
      </c>
      <c r="O9" s="25" t="str">
        <f>IF(E6="have",'D - Base data at Dec 31, 2020'!E264,"")</f>
        <v/>
      </c>
    </row>
    <row r="11" spans="1:16" x14ac:dyDescent="0.35">
      <c r="B11" t="s">
        <v>352</v>
      </c>
      <c r="C11" s="23" t="str">
        <f>IF(I9&lt;0,"does","does not")</f>
        <v>does not</v>
      </c>
      <c r="D11" t="s">
        <v>368</v>
      </c>
      <c r="G11" s="133" t="str">
        <f>IF(I9&lt;0,"and the group 2021 is onerous.",".")</f>
        <v>.</v>
      </c>
      <c r="H11" s="134"/>
      <c r="I11" s="135"/>
      <c r="L11" s="29"/>
    </row>
    <row r="13" spans="1:16" s="28" customFormat="1" x14ac:dyDescent="0.35">
      <c r="P13" s="63"/>
    </row>
    <row r="14" spans="1:16" x14ac:dyDescent="0.35">
      <c r="C14" s="1" t="s">
        <v>474</v>
      </c>
    </row>
    <row r="15" spans="1:16" x14ac:dyDescent="0.35">
      <c r="C15" s="126" t="s">
        <v>39</v>
      </c>
      <c r="D15" s="126"/>
      <c r="E15" s="126"/>
      <c r="F15" s="126"/>
      <c r="G15" s="126"/>
      <c r="H15" s="126"/>
      <c r="I15" s="126"/>
      <c r="J15" s="2"/>
    </row>
    <row r="16" spans="1:16" x14ac:dyDescent="0.35">
      <c r="C16" s="5">
        <v>2020</v>
      </c>
      <c r="D16" s="5">
        <v>2021</v>
      </c>
      <c r="E16" s="5">
        <v>2022</v>
      </c>
      <c r="F16" s="5">
        <v>2023</v>
      </c>
      <c r="G16" s="5">
        <v>2024</v>
      </c>
      <c r="H16" s="5">
        <v>2025</v>
      </c>
      <c r="I16" s="5">
        <v>2026</v>
      </c>
      <c r="J16" s="10" t="s">
        <v>4</v>
      </c>
    </row>
    <row r="17" spans="3:16" x14ac:dyDescent="0.35">
      <c r="C17" s="7">
        <f>'D - Base data at Dec 31, 2020'!D264</f>
        <v>0</v>
      </c>
      <c r="D17" s="7">
        <f>'D - Base data at Dec 31, 2020'!E264</f>
        <v>11.191620980822959</v>
      </c>
      <c r="E17" s="7">
        <f>'D - Base data at Dec 31, 2020'!F264</f>
        <v>10.894533840825813</v>
      </c>
      <c r="F17" s="7">
        <f>'D - Base data at Dec 31, 2020'!G264</f>
        <v>7.8491490478617791</v>
      </c>
      <c r="G17" s="7">
        <f>'D - Base data at Dec 31, 2020'!H264</f>
        <v>9.3466270037507329</v>
      </c>
      <c r="H17" s="7">
        <f>'D - Base data at Dec 31, 2020'!I264</f>
        <v>0</v>
      </c>
      <c r="I17" s="7">
        <f>'D - Base data at Dec 31, 2020'!J264</f>
        <v>0</v>
      </c>
      <c r="J17" s="12">
        <f>SUM(C17:I17)</f>
        <v>39.281930873261288</v>
      </c>
      <c r="P17" s="61" t="s">
        <v>293</v>
      </c>
    </row>
    <row r="18" spans="3:16" x14ac:dyDescent="0.35">
      <c r="P18" s="61" t="s">
        <v>297</v>
      </c>
    </row>
    <row r="20" spans="3:16" x14ac:dyDescent="0.35">
      <c r="C20" s="1" t="s">
        <v>475</v>
      </c>
    </row>
    <row r="21" spans="3:16" x14ac:dyDescent="0.35">
      <c r="C21" s="5">
        <v>2020</v>
      </c>
      <c r="D21" s="5">
        <v>2021</v>
      </c>
      <c r="E21" s="5">
        <v>2022</v>
      </c>
      <c r="F21" s="5">
        <v>2023</v>
      </c>
      <c r="G21" s="5">
        <v>2024</v>
      </c>
      <c r="H21" s="5">
        <v>2025</v>
      </c>
      <c r="I21" s="5">
        <v>2026</v>
      </c>
      <c r="J21" s="10" t="s">
        <v>4</v>
      </c>
    </row>
    <row r="22" spans="3:16" x14ac:dyDescent="0.35">
      <c r="D22" s="7">
        <f>IF(C11="does not",0,D17)</f>
        <v>0</v>
      </c>
      <c r="E22" s="7"/>
      <c r="F22" s="7"/>
      <c r="G22" s="7"/>
      <c r="H22" s="7"/>
      <c r="I22" s="7"/>
      <c r="J22" s="12">
        <f>SUM(D22:I22)</f>
        <v>0</v>
      </c>
      <c r="P22" s="61" t="s">
        <v>294</v>
      </c>
    </row>
    <row r="23" spans="3:16" x14ac:dyDescent="0.35">
      <c r="C23" s="7"/>
      <c r="D23" s="7"/>
      <c r="E23" s="7"/>
      <c r="F23" s="7"/>
      <c r="G23" s="7"/>
      <c r="H23" s="7"/>
      <c r="I23" s="7"/>
      <c r="P23" s="61" t="s">
        <v>298</v>
      </c>
    </row>
    <row r="24" spans="3:16" x14ac:dyDescent="0.35">
      <c r="C24" s="7"/>
      <c r="D24" s="24" t="s">
        <v>70</v>
      </c>
      <c r="E24" s="7"/>
      <c r="F24" s="7"/>
      <c r="G24" s="7"/>
      <c r="H24" s="7"/>
      <c r="I24" s="7"/>
      <c r="P24" s="61" t="s">
        <v>299</v>
      </c>
    </row>
    <row r="27" spans="3:16" x14ac:dyDescent="0.35">
      <c r="C27" s="1" t="s">
        <v>476</v>
      </c>
    </row>
    <row r="28" spans="3:16" x14ac:dyDescent="0.35">
      <c r="C28" s="126" t="s">
        <v>39</v>
      </c>
      <c r="D28" s="126"/>
      <c r="E28" s="126"/>
      <c r="F28" s="126"/>
      <c r="G28" s="126"/>
      <c r="H28" s="126"/>
      <c r="I28" s="126"/>
      <c r="J28" s="2"/>
    </row>
    <row r="29" spans="3:16" x14ac:dyDescent="0.35">
      <c r="C29" s="5">
        <v>2020</v>
      </c>
      <c r="D29" s="5">
        <v>2021</v>
      </c>
      <c r="E29" s="5">
        <v>2022</v>
      </c>
      <c r="F29" s="5">
        <v>2023</v>
      </c>
      <c r="G29" s="5">
        <v>2024</v>
      </c>
      <c r="H29" s="5">
        <v>2025</v>
      </c>
      <c r="I29" s="5">
        <v>2026</v>
      </c>
      <c r="J29" s="10" t="s">
        <v>4</v>
      </c>
      <c r="P29" s="61" t="s">
        <v>295</v>
      </c>
    </row>
    <row r="30" spans="3:16" x14ac:dyDescent="0.35">
      <c r="C30" s="7">
        <f>C17-C22</f>
        <v>0</v>
      </c>
      <c r="D30" s="7">
        <f t="shared" ref="D30:I30" si="0">D17-D22</f>
        <v>11.191620980822959</v>
      </c>
      <c r="E30" s="7">
        <f t="shared" si="0"/>
        <v>10.894533840825813</v>
      </c>
      <c r="F30" s="7">
        <f t="shared" si="0"/>
        <v>7.8491490478617791</v>
      </c>
      <c r="G30" s="7">
        <f t="shared" si="0"/>
        <v>9.3466270037507329</v>
      </c>
      <c r="H30" s="7">
        <f t="shared" si="0"/>
        <v>0</v>
      </c>
      <c r="I30" s="7">
        <f t="shared" si="0"/>
        <v>0</v>
      </c>
      <c r="J30" s="12">
        <f>SUM(C30:I30)</f>
        <v>39.281930873261288</v>
      </c>
      <c r="P30" s="61" t="s">
        <v>296</v>
      </c>
    </row>
    <row r="33" spans="2:16" s="28" customFormat="1" x14ac:dyDescent="0.35">
      <c r="P33" s="63"/>
    </row>
    <row r="34" spans="2:16" x14ac:dyDescent="0.35">
      <c r="B34" s="130" t="s">
        <v>477</v>
      </c>
      <c r="C34" s="130"/>
      <c r="D34" s="130"/>
      <c r="E34" s="130"/>
      <c r="F34" s="130"/>
      <c r="G34" s="130"/>
      <c r="H34" s="130"/>
      <c r="I34" s="130"/>
      <c r="J34" s="130"/>
    </row>
    <row r="35" spans="2:16" x14ac:dyDescent="0.35">
      <c r="B35" s="131"/>
      <c r="C35" s="131"/>
      <c r="D35" s="131"/>
      <c r="E35" s="131"/>
      <c r="F35" s="131"/>
      <c r="G35" s="131"/>
      <c r="H35" s="131"/>
      <c r="I35" s="131"/>
      <c r="J35" s="131"/>
    </row>
    <row r="36" spans="2:16" x14ac:dyDescent="0.35">
      <c r="B36" s="4" t="s">
        <v>110</v>
      </c>
      <c r="C36" s="126" t="s">
        <v>39</v>
      </c>
      <c r="D36" s="126"/>
      <c r="E36" s="126"/>
      <c r="F36" s="126"/>
      <c r="G36" s="126"/>
      <c r="H36" s="126"/>
      <c r="I36" s="126"/>
      <c r="J36" s="2"/>
      <c r="P36" s="61" t="s">
        <v>300</v>
      </c>
    </row>
    <row r="37" spans="2:16" x14ac:dyDescent="0.35">
      <c r="B37" s="4" t="s">
        <v>1</v>
      </c>
      <c r="C37" s="5">
        <v>2020</v>
      </c>
      <c r="D37" s="5">
        <v>2021</v>
      </c>
      <c r="E37" s="5">
        <v>2022</v>
      </c>
      <c r="F37" s="5">
        <v>2023</v>
      </c>
      <c r="G37" s="5">
        <v>2024</v>
      </c>
      <c r="H37" s="5">
        <v>2025</v>
      </c>
      <c r="I37" s="5">
        <v>2026</v>
      </c>
      <c r="J37" s="10" t="s">
        <v>4</v>
      </c>
      <c r="P37" s="61" t="s">
        <v>303</v>
      </c>
    </row>
    <row r="38" spans="2:16" x14ac:dyDescent="0.35">
      <c r="B38" s="4">
        <f>'A - Base data at Dec 31, 2019'!C197</f>
        <v>2020</v>
      </c>
      <c r="C38" s="25">
        <f>'D - Base data at Dec 31, 2020'!D208</f>
        <v>0</v>
      </c>
      <c r="D38" s="25">
        <f>IF(D$30=0,0,'D - Base data at Dec 31, 2020'!E208)</f>
        <v>8.3333333333333339</v>
      </c>
      <c r="E38" s="25">
        <f>'D - Base data at Dec 31, 2020'!F208</f>
        <v>8.3333333333333339</v>
      </c>
      <c r="F38" s="25"/>
      <c r="G38" s="25"/>
    </row>
    <row r="39" spans="2:16" x14ac:dyDescent="0.35">
      <c r="B39" s="4">
        <f>'A - Base data at Dec 31, 2019'!C198</f>
        <v>2021</v>
      </c>
      <c r="C39" s="25"/>
      <c r="D39" s="25">
        <f>IF(D$30=0,0,'D - Base data at Dec 31, 2020'!E209)</f>
        <v>0</v>
      </c>
      <c r="E39" s="25">
        <f>'D - Base data at Dec 31, 2020'!F209</f>
        <v>0</v>
      </c>
      <c r="F39" s="25">
        <f>'D - Base data at Dec 31, 2020'!G209</f>
        <v>0</v>
      </c>
    </row>
    <row r="40" spans="2:16" x14ac:dyDescent="0.35">
      <c r="B40" s="4">
        <f>'A - Base data at Dec 31, 2019'!C199</f>
        <v>2022</v>
      </c>
      <c r="C40" s="25"/>
      <c r="D40" s="25"/>
      <c r="E40" s="25"/>
      <c r="F40" s="25"/>
    </row>
    <row r="41" spans="2:16" x14ac:dyDescent="0.35">
      <c r="B41" s="4">
        <f>'A - Base data at Dec 31, 2019'!C200</f>
        <v>2023</v>
      </c>
    </row>
    <row r="42" spans="2:16" x14ac:dyDescent="0.35">
      <c r="B42" s="4">
        <f>'A - Base data at Dec 31, 2019'!C201</f>
        <v>2024</v>
      </c>
    </row>
    <row r="43" spans="2:16" x14ac:dyDescent="0.35">
      <c r="B43" s="5" t="s">
        <v>4</v>
      </c>
      <c r="C43" s="21">
        <f>SUM(C38:C42)</f>
        <v>0</v>
      </c>
      <c r="D43" s="21">
        <f t="shared" ref="D43:I43" si="1">SUM(D38:D42)</f>
        <v>8.3333333333333339</v>
      </c>
      <c r="E43" s="21">
        <f t="shared" si="1"/>
        <v>8.3333333333333339</v>
      </c>
      <c r="F43" s="21">
        <f t="shared" si="1"/>
        <v>0</v>
      </c>
      <c r="G43" s="21">
        <f t="shared" si="1"/>
        <v>0</v>
      </c>
      <c r="H43" s="21">
        <f t="shared" si="1"/>
        <v>0</v>
      </c>
      <c r="I43" s="21">
        <f t="shared" si="1"/>
        <v>0</v>
      </c>
      <c r="J43" s="12">
        <f>SUM(C43:I43)</f>
        <v>16.666666666666668</v>
      </c>
    </row>
    <row r="45" spans="2:16" x14ac:dyDescent="0.35">
      <c r="B45" s="131" t="s">
        <v>478</v>
      </c>
      <c r="C45" s="131"/>
      <c r="D45" s="131"/>
      <c r="E45" s="131"/>
      <c r="F45" s="131"/>
      <c r="G45" s="131"/>
      <c r="H45" s="131"/>
      <c r="I45" s="131"/>
      <c r="J45" s="131"/>
    </row>
    <row r="46" spans="2:16" x14ac:dyDescent="0.35">
      <c r="B46" s="131"/>
      <c r="C46" s="131"/>
      <c r="D46" s="131"/>
      <c r="E46" s="131"/>
      <c r="F46" s="131"/>
      <c r="G46" s="131"/>
      <c r="H46" s="131"/>
      <c r="I46" s="131"/>
      <c r="J46" s="131"/>
      <c r="P46" s="61" t="s">
        <v>301</v>
      </c>
    </row>
    <row r="47" spans="2:16" x14ac:dyDescent="0.35">
      <c r="B47" s="4" t="s">
        <v>110</v>
      </c>
      <c r="C47" s="126" t="s">
        <v>39</v>
      </c>
      <c r="D47" s="126"/>
      <c r="E47" s="126"/>
      <c r="F47" s="126"/>
      <c r="G47" s="126"/>
      <c r="H47" s="126"/>
      <c r="I47" s="126"/>
      <c r="J47" s="2"/>
      <c r="P47" s="61" t="s">
        <v>304</v>
      </c>
    </row>
    <row r="48" spans="2:16" x14ac:dyDescent="0.35">
      <c r="B48" s="4" t="s">
        <v>1</v>
      </c>
      <c r="C48" s="5">
        <v>2020</v>
      </c>
      <c r="D48" s="5">
        <v>2021</v>
      </c>
      <c r="E48" s="5">
        <v>2022</v>
      </c>
      <c r="F48" s="5">
        <v>2023</v>
      </c>
      <c r="G48" s="5">
        <v>2024</v>
      </c>
      <c r="H48" s="5">
        <v>2025</v>
      </c>
      <c r="I48" s="5">
        <v>2026</v>
      </c>
      <c r="J48" s="10" t="s">
        <v>4</v>
      </c>
    </row>
    <row r="49" spans="2:16" x14ac:dyDescent="0.35">
      <c r="B49" s="4">
        <f>B38</f>
        <v>2020</v>
      </c>
      <c r="C49" s="25">
        <f>IF(C$30=0,0,'D - Base data at Dec 31, 2020'!D249)</f>
        <v>0</v>
      </c>
      <c r="D49" s="25">
        <f>IF(D$30=0,0,'D - Base data at Dec 31, 2020'!E249)</f>
        <v>1.3539257277582437</v>
      </c>
      <c r="E49" s="25">
        <f>'D - Base data at Dec 31, 2020'!F249</f>
        <v>0.76552487493317656</v>
      </c>
      <c r="F49" s="25">
        <f>'D - Base data at Dec 31, 2020'!G249</f>
        <v>1.6638643954321712</v>
      </c>
      <c r="G49" s="25">
        <f>'D - Base data at Dec 31, 2020'!H249</f>
        <v>1.4974779558889544</v>
      </c>
      <c r="H49" s="30"/>
      <c r="I49" s="30"/>
    </row>
    <row r="50" spans="2:16" x14ac:dyDescent="0.35">
      <c r="B50" s="4">
        <f t="shared" ref="B50:B53" si="2">B39</f>
        <v>2021</v>
      </c>
      <c r="C50" s="25"/>
      <c r="D50" s="25">
        <f>IF(D$30=0,0,'D - Base data at Dec 31, 2020'!E250)</f>
        <v>1.504361919731382</v>
      </c>
      <c r="E50" s="25">
        <f>'D - Base data at Dec 31, 2020'!F250</f>
        <v>0.85058319437019603</v>
      </c>
      <c r="F50" s="25">
        <f>'D - Base data at Dec 31, 2020'!G250</f>
        <v>1.8487382171468569</v>
      </c>
      <c r="G50" s="25">
        <f>'D - Base data at Dec 31, 2020'!H250</f>
        <v>1.6638643954321712</v>
      </c>
      <c r="H50" s="30"/>
      <c r="I50" s="30"/>
    </row>
    <row r="51" spans="2:16" x14ac:dyDescent="0.35">
      <c r="B51" s="4">
        <f t="shared" si="2"/>
        <v>2022</v>
      </c>
      <c r="C51" s="25"/>
      <c r="D51" s="25"/>
      <c r="E51" s="25">
        <f>'D - Base data at Dec 31, 2020'!F251</f>
        <v>0.94509243818910693</v>
      </c>
      <c r="F51" s="25">
        <f>'D - Base data at Dec 31, 2020'!G251</f>
        <v>2.0541535746076187</v>
      </c>
      <c r="G51" s="25">
        <f>'D - Base data at Dec 31, 2020'!H251</f>
        <v>1.8487382171468569</v>
      </c>
      <c r="H51" s="30"/>
      <c r="I51" s="30"/>
    </row>
    <row r="52" spans="2:16" x14ac:dyDescent="0.35">
      <c r="B52" s="4">
        <f t="shared" si="2"/>
        <v>2023</v>
      </c>
      <c r="C52" s="25"/>
      <c r="D52" s="25"/>
      <c r="E52" s="25"/>
      <c r="F52" s="25">
        <f>'D - Base data at Dec 31, 2020'!G252</f>
        <v>2.2823928606751323</v>
      </c>
      <c r="G52" s="25">
        <f>'D - Base data at Dec 31, 2020'!H252</f>
        <v>2.0541535746076187</v>
      </c>
      <c r="H52" s="30"/>
      <c r="I52" s="30"/>
    </row>
    <row r="53" spans="2:16" x14ac:dyDescent="0.35">
      <c r="B53" s="4">
        <f t="shared" si="2"/>
        <v>2024</v>
      </c>
      <c r="C53" s="25"/>
      <c r="D53" s="25"/>
      <c r="E53" s="25"/>
      <c r="F53" s="25"/>
      <c r="G53" s="25">
        <f>'D - Base data at Dec 31, 2020'!H253</f>
        <v>2.2823928606751323</v>
      </c>
      <c r="H53" s="30"/>
      <c r="I53" s="30"/>
    </row>
    <row r="54" spans="2:16" x14ac:dyDescent="0.35">
      <c r="B54" s="5" t="s">
        <v>4</v>
      </c>
      <c r="C54" s="21">
        <f>SUM(C49:C53)</f>
        <v>0</v>
      </c>
      <c r="D54" s="21">
        <f t="shared" ref="D54:I54" si="3">SUM(D49:D53)</f>
        <v>2.8582876474896257</v>
      </c>
      <c r="E54" s="21">
        <f t="shared" si="3"/>
        <v>2.5612005074924795</v>
      </c>
      <c r="F54" s="21">
        <f t="shared" si="3"/>
        <v>7.8491490478617791</v>
      </c>
      <c r="G54" s="21">
        <f t="shared" si="3"/>
        <v>9.3466270037507329</v>
      </c>
      <c r="H54" s="21">
        <f t="shared" si="3"/>
        <v>0</v>
      </c>
      <c r="I54" s="21">
        <f t="shared" si="3"/>
        <v>0</v>
      </c>
      <c r="J54" s="12">
        <f>SUM(C54:I54)</f>
        <v>22.615264206594617</v>
      </c>
    </row>
    <row r="56" spans="2:16" x14ac:dyDescent="0.35">
      <c r="B56" s="1" t="s">
        <v>479</v>
      </c>
      <c r="P56" s="61" t="s">
        <v>302</v>
      </c>
    </row>
    <row r="57" spans="2:16" x14ac:dyDescent="0.35">
      <c r="B57" s="4" t="s">
        <v>110</v>
      </c>
      <c r="C57" s="126" t="s">
        <v>39</v>
      </c>
      <c r="D57" s="126"/>
      <c r="E57" s="126"/>
      <c r="F57" s="126"/>
      <c r="G57" s="126"/>
      <c r="H57" s="126"/>
      <c r="I57" s="126"/>
      <c r="J57" s="2"/>
      <c r="P57" s="61" t="s">
        <v>351</v>
      </c>
    </row>
    <row r="58" spans="2:16" x14ac:dyDescent="0.35">
      <c r="B58" s="4" t="s">
        <v>1</v>
      </c>
      <c r="C58" s="5">
        <v>2020</v>
      </c>
      <c r="D58" s="5">
        <v>2021</v>
      </c>
      <c r="E58" s="5">
        <v>2022</v>
      </c>
      <c r="F58" s="5">
        <v>2023</v>
      </c>
      <c r="G58" s="5">
        <v>2024</v>
      </c>
      <c r="H58" s="5">
        <v>2025</v>
      </c>
      <c r="I58" s="5">
        <v>2026</v>
      </c>
      <c r="J58" s="10" t="s">
        <v>4</v>
      </c>
    </row>
    <row r="59" spans="2:16" x14ac:dyDescent="0.35">
      <c r="B59" s="4">
        <f>B49</f>
        <v>2020</v>
      </c>
      <c r="C59" s="25">
        <f>C38+C49</f>
        <v>0</v>
      </c>
      <c r="D59" s="25">
        <f t="shared" ref="D59:G63" si="4">D38+D49</f>
        <v>9.6872590610915772</v>
      </c>
      <c r="E59" s="25">
        <f>E38+E49</f>
        <v>9.0988582082665097</v>
      </c>
      <c r="F59" s="25">
        <f t="shared" si="4"/>
        <v>1.6638643954321712</v>
      </c>
      <c r="G59" s="25">
        <f t="shared" si="4"/>
        <v>1.4974779558889544</v>
      </c>
    </row>
    <row r="60" spans="2:16" x14ac:dyDescent="0.35">
      <c r="B60" s="4">
        <f t="shared" ref="B60:B63" si="5">B50</f>
        <v>2021</v>
      </c>
      <c r="C60" s="25"/>
      <c r="D60" s="25">
        <f t="shared" si="4"/>
        <v>1.504361919731382</v>
      </c>
      <c r="E60" s="25">
        <f t="shared" si="4"/>
        <v>0.85058319437019603</v>
      </c>
      <c r="F60" s="25">
        <f t="shared" si="4"/>
        <v>1.8487382171468569</v>
      </c>
      <c r="G60" s="25">
        <f t="shared" si="4"/>
        <v>1.6638643954321712</v>
      </c>
    </row>
    <row r="61" spans="2:16" x14ac:dyDescent="0.35">
      <c r="B61" s="4">
        <f t="shared" si="5"/>
        <v>2022</v>
      </c>
      <c r="C61" s="25"/>
      <c r="D61" s="25"/>
      <c r="E61" s="25">
        <f t="shared" si="4"/>
        <v>0.94509243818910693</v>
      </c>
      <c r="F61" s="25">
        <f t="shared" si="4"/>
        <v>2.0541535746076187</v>
      </c>
      <c r="G61" s="25">
        <f t="shared" si="4"/>
        <v>1.8487382171468569</v>
      </c>
    </row>
    <row r="62" spans="2:16" x14ac:dyDescent="0.35">
      <c r="B62" s="4">
        <f t="shared" si="5"/>
        <v>2023</v>
      </c>
      <c r="C62" s="25"/>
      <c r="D62" s="25"/>
      <c r="E62" s="25"/>
      <c r="F62" s="25">
        <f t="shared" si="4"/>
        <v>2.2823928606751323</v>
      </c>
      <c r="G62" s="25">
        <f t="shared" si="4"/>
        <v>2.0541535746076187</v>
      </c>
    </row>
    <row r="63" spans="2:16" x14ac:dyDescent="0.35">
      <c r="B63" s="4">
        <f t="shared" si="5"/>
        <v>2024</v>
      </c>
      <c r="C63" s="25"/>
      <c r="D63" s="25"/>
      <c r="E63" s="25"/>
      <c r="F63" s="25"/>
      <c r="G63" s="25">
        <f t="shared" si="4"/>
        <v>2.2823928606751323</v>
      </c>
    </row>
    <row r="64" spans="2:16" x14ac:dyDescent="0.35">
      <c r="B64" s="5" t="s">
        <v>4</v>
      </c>
      <c r="C64" s="21">
        <f>SUM(C59:C63)</f>
        <v>0</v>
      </c>
      <c r="D64" s="21">
        <f t="shared" ref="D64:I64" si="6">SUM(D59:D63)</f>
        <v>11.191620980822959</v>
      </c>
      <c r="E64" s="21">
        <f t="shared" si="6"/>
        <v>10.894533840825813</v>
      </c>
      <c r="F64" s="21">
        <f t="shared" si="6"/>
        <v>7.8491490478617791</v>
      </c>
      <c r="G64" s="21">
        <f t="shared" si="6"/>
        <v>9.3466270037507329</v>
      </c>
      <c r="H64" s="21">
        <f t="shared" si="6"/>
        <v>0</v>
      </c>
      <c r="I64" s="21">
        <f t="shared" si="6"/>
        <v>0</v>
      </c>
      <c r="J64" s="12">
        <f>SUM(C64:I64)</f>
        <v>39.281930873261288</v>
      </c>
    </row>
  </sheetData>
  <mergeCells count="8">
    <mergeCell ref="C57:I57"/>
    <mergeCell ref="B45:J46"/>
    <mergeCell ref="B34:J35"/>
    <mergeCell ref="G11:I11"/>
    <mergeCell ref="C15:I15"/>
    <mergeCell ref="C28:I28"/>
    <mergeCell ref="C36:I36"/>
    <mergeCell ref="C47:I47"/>
  </mergeCells>
  <conditionalFormatting sqref="C6">
    <cfRule type="notContainsText" dxfId="10" priority="6" operator="notContains" text="not">
      <formula>ISERROR(SEARCH("not",C6))</formula>
    </cfRule>
    <cfRule type="containsText" dxfId="9" priority="7" operator="containsText" text="not">
      <formula>NOT(ISERROR(SEARCH("not",C6)))</formula>
    </cfRule>
  </conditionalFormatting>
  <conditionalFormatting sqref="E6">
    <cfRule type="notContainsText" dxfId="8" priority="4" operator="notContains" text="not">
      <formula>ISERROR(SEARCH("not",E6))</formula>
    </cfRule>
    <cfRule type="containsText" dxfId="7" priority="5" operator="containsText" text="not">
      <formula>NOT(ISERROR(SEARCH("not",E6)))</formula>
    </cfRule>
  </conditionalFormatting>
  <conditionalFormatting sqref="C11">
    <cfRule type="notContainsText" dxfId="6" priority="2" operator="notContains" text="not">
      <formula>ISERROR(SEARCH("not",C11))</formula>
    </cfRule>
    <cfRule type="containsText" dxfId="5" priority="3" operator="containsText" text="not">
      <formula>NOT(ISERROR(SEARCH("not",C11)))</formula>
    </cfRule>
  </conditionalFormatting>
  <conditionalFormatting sqref="G11">
    <cfRule type="containsText" dxfId="4" priority="1" operator="containsText" text="onerous">
      <formula>NOT(ISERROR(SEARCH("onerous",G11)))</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164"/>
  <sheetViews>
    <sheetView tabSelected="1" topLeftCell="A142" zoomScaleNormal="100" workbookViewId="0">
      <selection activeCell="D156" sqref="D156"/>
    </sheetView>
  </sheetViews>
  <sheetFormatPr defaultColWidth="10.90625" defaultRowHeight="14.5" x14ac:dyDescent="0.35"/>
  <cols>
    <col min="1" max="1" width="2.81640625" customWidth="1"/>
    <col min="2" max="2" width="25" customWidth="1"/>
    <col min="3" max="3" width="13.90625" customWidth="1"/>
    <col min="4" max="4" width="16.453125" customWidth="1"/>
    <col min="15" max="15" width="46.36328125" style="61" customWidth="1"/>
  </cols>
  <sheetData>
    <row r="1" spans="2:15" x14ac:dyDescent="0.35">
      <c r="B1" s="22" t="s">
        <v>156</v>
      </c>
      <c r="O1" s="22" t="s">
        <v>157</v>
      </c>
    </row>
    <row r="3" spans="2:15" x14ac:dyDescent="0.35">
      <c r="B3" t="s">
        <v>45</v>
      </c>
    </row>
    <row r="5" spans="2:15" x14ac:dyDescent="0.35">
      <c r="B5" s="14" t="s">
        <v>158</v>
      </c>
      <c r="C5" s="23" t="str">
        <f>IF('E - Onerous at Dec 31, 2020'!J64&gt;0,"are","are no")</f>
        <v>are</v>
      </c>
      <c r="D5" s="17" t="s">
        <v>159</v>
      </c>
      <c r="E5" s="23" t="str">
        <f>IF(C5="are","could","could not")</f>
        <v>could</v>
      </c>
      <c r="F5" t="s">
        <v>46</v>
      </c>
    </row>
    <row r="7" spans="2:15" s="28" customFormat="1" x14ac:dyDescent="0.35">
      <c r="O7" s="63"/>
    </row>
    <row r="8" spans="2:15" x14ac:dyDescent="0.35">
      <c r="B8" s="1" t="s">
        <v>47</v>
      </c>
    </row>
    <row r="10" spans="2:15" x14ac:dyDescent="0.35">
      <c r="B10" s="34" t="s">
        <v>62</v>
      </c>
    </row>
    <row r="12" spans="2:15" x14ac:dyDescent="0.35">
      <c r="B12" s="1" t="s">
        <v>160</v>
      </c>
      <c r="O12" s="61" t="s">
        <v>160</v>
      </c>
    </row>
    <row r="13" spans="2:15" x14ac:dyDescent="0.35">
      <c r="B13" s="108"/>
      <c r="C13" s="79"/>
      <c r="D13" s="79"/>
      <c r="E13" s="137" t="s">
        <v>0</v>
      </c>
      <c r="F13" s="137"/>
      <c r="G13" s="137"/>
      <c r="H13" s="137"/>
      <c r="I13" s="137"/>
      <c r="J13" s="137"/>
      <c r="K13" s="138"/>
    </row>
    <row r="14" spans="2:15" x14ac:dyDescent="0.35">
      <c r="B14" s="80"/>
      <c r="C14" s="46"/>
      <c r="D14" s="46"/>
      <c r="E14" s="81">
        <v>2020</v>
      </c>
      <c r="F14" s="81">
        <v>2021</v>
      </c>
      <c r="G14" s="81">
        <v>2022</v>
      </c>
      <c r="H14" s="81">
        <v>2023</v>
      </c>
      <c r="I14" s="81">
        <v>2024</v>
      </c>
      <c r="J14" s="81">
        <v>2025</v>
      </c>
      <c r="K14" s="82">
        <v>2026</v>
      </c>
    </row>
    <row r="15" spans="2:15" x14ac:dyDescent="0.35">
      <c r="B15" s="83" t="s">
        <v>409</v>
      </c>
      <c r="C15" s="84"/>
      <c r="D15" s="84"/>
      <c r="E15" s="85">
        <f>IF(E19=0,0,'D - Base data at Dec 31, 2020'!N168)</f>
        <v>0</v>
      </c>
      <c r="F15" s="85">
        <f>IF(F19=0,0,'D - Base data at Dec 31, 2020'!O168)</f>
        <v>15.045585904633541</v>
      </c>
      <c r="G15" s="85">
        <f>IF(G19=0,0,'D - Base data at Dec 31, 2020'!P168)</f>
        <v>20.301448472970431</v>
      </c>
      <c r="H15" s="85">
        <f>IF(H19=0,0,'D - Base data at Dec 31, 2020'!Q168)</f>
        <v>24.529109236405898</v>
      </c>
      <c r="I15" s="85">
        <f>IF(I19=0,0,'D - Base data at Dec 31, 2020'!R168)</f>
        <v>27.90291996066232</v>
      </c>
      <c r="J15" s="85">
        <f>IF(J19=0,0,'D - Base data at Dec 31, 2020'!S168)</f>
        <v>0</v>
      </c>
      <c r="K15" s="86">
        <f>IF(K19=0,0,'D - Base data at Dec 31, 2020'!T168)</f>
        <v>0</v>
      </c>
      <c r="O15" s="61" t="s">
        <v>480</v>
      </c>
    </row>
    <row r="16" spans="2:15" x14ac:dyDescent="0.35">
      <c r="B16" s="87" t="s">
        <v>73</v>
      </c>
      <c r="C16" s="27"/>
      <c r="D16" s="27"/>
      <c r="E16" s="31">
        <f>IF(E19=0,0,IF('A - Base data at Dec 31, 2019'!$F$11=0,SUM('D - Base data at Dec 31, 2020'!N133:N136)+SUM('D - Base data at Dec 31, 2020'!N143:N146),SUM('D - Base data at Dec 31, 2020'!N133:N136)+SUM('D - Base data at Dec 31, 2020'!N144:N146)))</f>
        <v>0</v>
      </c>
      <c r="F16" s="31">
        <f>IF(F19=0,0,IF('A - Base data at Dec 31, 2019'!$F$11=0,SUM('D - Base data at Dec 31, 2020'!O133:O136)+SUM('D - Base data at Dec 31, 2020'!O143:O146),SUM('D - Base data at Dec 31, 2020'!O133:O136)+SUM('D - Base data at Dec 31, 2020'!O144:O146)))</f>
        <v>8.3333333333333339</v>
      </c>
      <c r="G16" s="31">
        <f>IF(G19=0,0,IF('A - Base data at Dec 31, 2019'!$F$11=0,SUM('D - Base data at Dec 31, 2020'!P133:P136)+SUM('D - Base data at Dec 31, 2020'!P143:P146),SUM('D - Base data at Dec 31, 2020'!P133:P136)+SUM('D - Base data at Dec 31, 2020'!P144:P146)))</f>
        <v>16.503267973856211</v>
      </c>
      <c r="H16" s="31">
        <f>IF(H19=0,0,IF('A - Base data at Dec 31, 2019'!$F$11=0,SUM('D - Base data at Dec 31, 2020'!Q133:Q136)+SUM('D - Base data at Dec 31, 2020'!Q143:Q146),SUM('D - Base data at Dec 31, 2020'!Q133:Q136)+SUM('D - Base data at Dec 31, 2020'!Q144:Q146)))</f>
        <v>24.513007817506089</v>
      </c>
      <c r="I16" s="31">
        <f>IF(I19=0,0,IF('A - Base data at Dec 31, 2019'!$F$11=0,SUM('D - Base data at Dec 31, 2020'!R133:R136)+SUM('D - Base data at Dec 31, 2020'!R143:R146),SUM('D - Base data at Dec 31, 2020'!R133:R136)+SUM('D - Base data at Dec 31, 2020'!R144:R146)))</f>
        <v>24.032360605398125</v>
      </c>
      <c r="J16" s="31">
        <f>IF(J19=0,0,IF('A - Base data at Dec 31, 2019'!$F$11=0,SUM('D - Base data at Dec 31, 2020'!S133:S136)+SUM('D - Base data at Dec 31, 2020'!S143:S146),SUM('D - Base data at Dec 31, 2020'!S133:S136)+SUM('D - Base data at Dec 31, 2020'!S144:S146)))</f>
        <v>0</v>
      </c>
      <c r="K16" s="88">
        <f>IF(K19=0,0,IF('A - Base data at Dec 31, 2019'!$F$11=0,SUM('D - Base data at Dec 31, 2020'!T133:T136)+SUM('D - Base data at Dec 31, 2020'!T143:T146),SUM('D - Base data at Dec 31, 2020'!T133:T136)+SUM('D - Base data at Dec 31, 2020'!T144:T146)))</f>
        <v>0</v>
      </c>
      <c r="O16" s="62" t="s">
        <v>481</v>
      </c>
    </row>
    <row r="17" spans="2:15" x14ac:dyDescent="0.35">
      <c r="B17" s="83" t="s">
        <v>48</v>
      </c>
      <c r="C17" s="84"/>
      <c r="D17" s="84"/>
      <c r="E17" s="85">
        <f>E15-E16</f>
        <v>0</v>
      </c>
      <c r="F17" s="85">
        <f t="shared" ref="F17:K17" si="0">F15-F16</f>
        <v>6.7122525713002066</v>
      </c>
      <c r="G17" s="85">
        <f>G15-G16</f>
        <v>3.7981804991142205</v>
      </c>
      <c r="H17" s="85">
        <f t="shared" si="0"/>
        <v>1.6101418899808095E-2</v>
      </c>
      <c r="I17" s="85">
        <f t="shared" si="0"/>
        <v>3.870559355264195</v>
      </c>
      <c r="J17" s="85">
        <f t="shared" si="0"/>
        <v>0</v>
      </c>
      <c r="K17" s="86">
        <f t="shared" si="0"/>
        <v>0</v>
      </c>
      <c r="O17" s="61" t="s">
        <v>233</v>
      </c>
    </row>
    <row r="18" spans="2:15" x14ac:dyDescent="0.35">
      <c r="B18" s="83"/>
      <c r="C18" s="84"/>
      <c r="D18" s="84"/>
      <c r="E18" s="89"/>
      <c r="F18" s="89"/>
      <c r="G18" s="89"/>
      <c r="H18" s="89"/>
      <c r="I18" s="89"/>
      <c r="J18" s="89"/>
      <c r="K18" s="90"/>
    </row>
    <row r="19" spans="2:15" x14ac:dyDescent="0.35">
      <c r="B19" s="83" t="s">
        <v>76</v>
      </c>
      <c r="C19" s="84"/>
      <c r="D19" s="84"/>
      <c r="E19" s="33">
        <f>'E - Onerous at Dec 31, 2020'!C64</f>
        <v>0</v>
      </c>
      <c r="F19" s="33">
        <f>'E - Onerous at Dec 31, 2020'!D64</f>
        <v>11.191620980822959</v>
      </c>
      <c r="G19" s="33">
        <f>'E - Onerous at Dec 31, 2020'!E64</f>
        <v>10.894533840825813</v>
      </c>
      <c r="H19" s="33">
        <f>'E - Onerous at Dec 31, 2020'!F64</f>
        <v>7.8491490478617791</v>
      </c>
      <c r="I19" s="33">
        <f>'E - Onerous at Dec 31, 2020'!G64</f>
        <v>9.3466270037507329</v>
      </c>
      <c r="J19" s="33">
        <f>'E - Onerous at Dec 31, 2020'!H64</f>
        <v>0</v>
      </c>
      <c r="K19" s="91">
        <f>'E - Onerous at Dec 31, 2020'!I64</f>
        <v>0</v>
      </c>
      <c r="O19" s="61" t="s">
        <v>305</v>
      </c>
    </row>
    <row r="20" spans="2:15" x14ac:dyDescent="0.35">
      <c r="B20" s="92" t="s">
        <v>51</v>
      </c>
      <c r="C20" s="26"/>
      <c r="D20" s="26"/>
      <c r="E20" s="102">
        <f>E17-E19</f>
        <v>0</v>
      </c>
      <c r="F20" s="102">
        <f t="shared" ref="F20:K20" si="1">F17-F19</f>
        <v>-4.4793684095227526</v>
      </c>
      <c r="G20" s="102">
        <f t="shared" si="1"/>
        <v>-7.0963533417115929</v>
      </c>
      <c r="H20" s="102">
        <f t="shared" si="1"/>
        <v>-7.833047628961971</v>
      </c>
      <c r="I20" s="102">
        <f t="shared" si="1"/>
        <v>-5.4760676484865378</v>
      </c>
      <c r="J20" s="102">
        <f t="shared" si="1"/>
        <v>0</v>
      </c>
      <c r="K20" s="109">
        <f t="shared" si="1"/>
        <v>0</v>
      </c>
      <c r="O20" s="61" t="s">
        <v>234</v>
      </c>
    </row>
    <row r="21" spans="2:15" x14ac:dyDescent="0.35">
      <c r="B21" s="61"/>
      <c r="C21" s="46"/>
      <c r="D21" s="46"/>
      <c r="E21" s="46" t="str">
        <f>IF(E19=0,"",IF(E20&gt;=0,"Pass","Fail"))</f>
        <v/>
      </c>
      <c r="F21" s="46" t="str">
        <f>IF(F19=0,"",IF(F20&gt;=0,"Pass","Fail"))</f>
        <v>Fail</v>
      </c>
      <c r="G21" s="46" t="str">
        <f t="shared" ref="F21:K21" si="2">IF(G19=0,"",IF(G20&gt;=0,"Pass","Fail"))</f>
        <v>Fail</v>
      </c>
      <c r="H21" s="46" t="str">
        <f t="shared" si="2"/>
        <v>Fail</v>
      </c>
      <c r="I21" s="46" t="str">
        <f t="shared" si="2"/>
        <v>Fail</v>
      </c>
      <c r="J21" s="46" t="str">
        <f t="shared" si="2"/>
        <v/>
      </c>
      <c r="K21" s="93" t="str">
        <f t="shared" si="2"/>
        <v/>
      </c>
    </row>
    <row r="22" spans="2:15" x14ac:dyDescent="0.35">
      <c r="B22" s="63"/>
      <c r="C22" s="32"/>
      <c r="D22" s="32"/>
      <c r="E22" s="32"/>
      <c r="F22" s="32"/>
      <c r="G22" s="32"/>
      <c r="H22" s="32"/>
      <c r="I22" s="32"/>
      <c r="J22" s="32"/>
      <c r="K22" s="94"/>
    </row>
    <row r="23" spans="2:15" x14ac:dyDescent="0.35">
      <c r="B23" s="95" t="s">
        <v>208</v>
      </c>
      <c r="C23" s="32"/>
      <c r="D23" s="32"/>
      <c r="E23" s="31">
        <f t="shared" ref="E23:K23" si="3">MIN(IF(E20&lt;0,-E20,0),E19)</f>
        <v>0</v>
      </c>
      <c r="F23" s="31">
        <f t="shared" si="3"/>
        <v>4.4793684095227526</v>
      </c>
      <c r="G23" s="31">
        <f t="shared" si="3"/>
        <v>7.0963533417115929</v>
      </c>
      <c r="H23" s="31">
        <f t="shared" si="3"/>
        <v>7.833047628961971</v>
      </c>
      <c r="I23" s="31">
        <f t="shared" si="3"/>
        <v>5.4760676484865378</v>
      </c>
      <c r="J23" s="31">
        <f t="shared" si="3"/>
        <v>0</v>
      </c>
      <c r="K23" s="88">
        <f t="shared" si="3"/>
        <v>0</v>
      </c>
      <c r="O23" s="61" t="s">
        <v>209</v>
      </c>
    </row>
    <row r="24" spans="2:15" s="28" customFormat="1" x14ac:dyDescent="0.35">
      <c r="O24" s="63" t="s">
        <v>306</v>
      </c>
    </row>
    <row r="25" spans="2:15" x14ac:dyDescent="0.35">
      <c r="B25" s="34" t="s">
        <v>52</v>
      </c>
    </row>
    <row r="27" spans="2:15" ht="28.75" customHeight="1" x14ac:dyDescent="0.35">
      <c r="E27" s="132" t="s">
        <v>482</v>
      </c>
      <c r="F27" s="132"/>
      <c r="G27" s="132"/>
      <c r="H27" s="132"/>
      <c r="I27" s="132"/>
      <c r="J27" s="132"/>
      <c r="K27" s="132"/>
      <c r="L27" s="132"/>
    </row>
    <row r="28" spans="2:15" x14ac:dyDescent="0.35">
      <c r="E28" s="126" t="s">
        <v>39</v>
      </c>
      <c r="F28" s="126"/>
      <c r="G28" s="126"/>
      <c r="H28" s="126"/>
      <c r="I28" s="126"/>
      <c r="J28" s="126"/>
      <c r="K28" s="126"/>
      <c r="L28" s="2"/>
    </row>
    <row r="29" spans="2:15" x14ac:dyDescent="0.35">
      <c r="E29" s="5">
        <v>2020</v>
      </c>
      <c r="F29" s="5">
        <v>2021</v>
      </c>
      <c r="G29" s="5">
        <v>2022</v>
      </c>
      <c r="H29" s="5">
        <v>2023</v>
      </c>
      <c r="I29" s="5">
        <v>2024</v>
      </c>
      <c r="J29" s="5">
        <v>2025</v>
      </c>
      <c r="K29" s="5">
        <v>2026</v>
      </c>
      <c r="L29" s="10" t="s">
        <v>4</v>
      </c>
      <c r="O29" s="61" t="s">
        <v>307</v>
      </c>
    </row>
    <row r="30" spans="2:15" x14ac:dyDescent="0.35">
      <c r="E30" s="7">
        <f t="shared" ref="E30:K30" si="4">E19</f>
        <v>0</v>
      </c>
      <c r="F30" s="7">
        <f t="shared" si="4"/>
        <v>11.191620980822959</v>
      </c>
      <c r="G30" s="7">
        <f t="shared" si="4"/>
        <v>10.894533840825813</v>
      </c>
      <c r="H30" s="7">
        <f t="shared" si="4"/>
        <v>7.8491490478617791</v>
      </c>
      <c r="I30" s="7">
        <f t="shared" si="4"/>
        <v>9.3466270037507329</v>
      </c>
      <c r="J30" s="7">
        <f t="shared" si="4"/>
        <v>0</v>
      </c>
      <c r="K30" s="7">
        <f t="shared" si="4"/>
        <v>0</v>
      </c>
      <c r="L30" s="12">
        <f>SUM(E30:K30)</f>
        <v>39.281930873261288</v>
      </c>
      <c r="O30" s="61" t="s">
        <v>308</v>
      </c>
    </row>
    <row r="32" spans="2:15" x14ac:dyDescent="0.35">
      <c r="E32" s="1" t="s">
        <v>483</v>
      </c>
    </row>
    <row r="33" spans="2:15" x14ac:dyDescent="0.35">
      <c r="E33" s="5">
        <v>2020</v>
      </c>
      <c r="F33" s="5">
        <v>2021</v>
      </c>
      <c r="G33" s="5">
        <v>2022</v>
      </c>
      <c r="H33" s="5">
        <v>2023</v>
      </c>
      <c r="I33" s="5">
        <v>2024</v>
      </c>
      <c r="J33" s="5">
        <v>2025</v>
      </c>
      <c r="K33" s="5">
        <v>2026</v>
      </c>
      <c r="L33" s="10" t="s">
        <v>4</v>
      </c>
      <c r="O33" s="61" t="s">
        <v>309</v>
      </c>
    </row>
    <row r="34" spans="2:15" x14ac:dyDescent="0.35">
      <c r="E34" s="7">
        <f>E23</f>
        <v>0</v>
      </c>
      <c r="F34" s="7">
        <f t="shared" ref="F34:K34" si="5">F23</f>
        <v>4.4793684095227526</v>
      </c>
      <c r="G34" s="7">
        <f t="shared" si="5"/>
        <v>7.0963533417115929</v>
      </c>
      <c r="H34" s="7">
        <f t="shared" si="5"/>
        <v>7.833047628961971</v>
      </c>
      <c r="I34" s="7">
        <f t="shared" si="5"/>
        <v>5.4760676484865378</v>
      </c>
      <c r="J34" s="7">
        <f t="shared" si="5"/>
        <v>0</v>
      </c>
      <c r="K34" s="7">
        <f t="shared" si="5"/>
        <v>0</v>
      </c>
      <c r="L34" s="12">
        <f>SUM(E34:K34)</f>
        <v>24.884837028682856</v>
      </c>
      <c r="O34" s="61" t="s">
        <v>310</v>
      </c>
    </row>
    <row r="35" spans="2:15" x14ac:dyDescent="0.35">
      <c r="E35" s="7"/>
      <c r="F35" s="7"/>
      <c r="G35" s="7"/>
      <c r="H35" s="7"/>
      <c r="I35" s="7"/>
      <c r="J35" s="7"/>
      <c r="K35" s="7"/>
    </row>
    <row r="36" spans="2:15" x14ac:dyDescent="0.35">
      <c r="E36" s="24" t="s">
        <v>54</v>
      </c>
      <c r="G36" s="7"/>
      <c r="H36" s="7"/>
      <c r="I36" s="7"/>
      <c r="J36" s="7"/>
      <c r="K36" s="7"/>
    </row>
    <row r="38" spans="2:15" ht="30" customHeight="1" x14ac:dyDescent="0.35">
      <c r="E38" s="132" t="s">
        <v>484</v>
      </c>
      <c r="F38" s="132"/>
      <c r="G38" s="132"/>
      <c r="H38" s="132"/>
      <c r="I38" s="132"/>
      <c r="J38" s="132"/>
      <c r="K38" s="132"/>
      <c r="L38" s="132"/>
    </row>
    <row r="39" spans="2:15" x14ac:dyDescent="0.35">
      <c r="E39" s="126" t="s">
        <v>39</v>
      </c>
      <c r="F39" s="126"/>
      <c r="G39" s="126"/>
      <c r="H39" s="126"/>
      <c r="I39" s="126"/>
      <c r="J39" s="126"/>
      <c r="K39" s="126"/>
      <c r="L39" s="2"/>
      <c r="O39" s="76" t="s">
        <v>311</v>
      </c>
    </row>
    <row r="40" spans="2:15" x14ac:dyDescent="0.35">
      <c r="E40" s="5">
        <v>2020</v>
      </c>
      <c r="F40" s="5">
        <v>2021</v>
      </c>
      <c r="G40" s="5">
        <v>2022</v>
      </c>
      <c r="H40" s="5">
        <v>2023</v>
      </c>
      <c r="I40" s="5">
        <v>2024</v>
      </c>
      <c r="J40" s="5">
        <v>2025</v>
      </c>
      <c r="K40" s="5">
        <v>2026</v>
      </c>
      <c r="L40" s="10" t="s">
        <v>4</v>
      </c>
      <c r="O40" s="61" t="s">
        <v>312</v>
      </c>
    </row>
    <row r="41" spans="2:15" x14ac:dyDescent="0.35">
      <c r="E41" s="7">
        <f t="shared" ref="E41:K41" si="6">E30-E34</f>
        <v>0</v>
      </c>
      <c r="F41" s="7">
        <f t="shared" si="6"/>
        <v>6.7122525713002066</v>
      </c>
      <c r="G41" s="7">
        <f t="shared" si="6"/>
        <v>3.7981804991142205</v>
      </c>
      <c r="H41" s="7">
        <f t="shared" si="6"/>
        <v>1.6101418899808095E-2</v>
      </c>
      <c r="I41" s="7">
        <f t="shared" si="6"/>
        <v>3.870559355264195</v>
      </c>
      <c r="J41" s="7">
        <f t="shared" si="6"/>
        <v>0</v>
      </c>
      <c r="K41" s="7">
        <f t="shared" si="6"/>
        <v>0</v>
      </c>
      <c r="L41" s="12">
        <f>SUM(E41:K41)</f>
        <v>14.39709384457843</v>
      </c>
    </row>
    <row r="43" spans="2:15" s="28" customFormat="1" x14ac:dyDescent="0.35">
      <c r="O43" s="63"/>
    </row>
    <row r="44" spans="2:15" x14ac:dyDescent="0.35">
      <c r="B44" t="s">
        <v>55</v>
      </c>
    </row>
    <row r="46" spans="2:15" x14ac:dyDescent="0.35">
      <c r="C46" s="1" t="s">
        <v>485</v>
      </c>
    </row>
    <row r="47" spans="2:15" x14ac:dyDescent="0.35">
      <c r="C47" s="1" t="s">
        <v>56</v>
      </c>
    </row>
    <row r="48" spans="2:15" x14ac:dyDescent="0.35">
      <c r="C48" s="1"/>
    </row>
    <row r="49" spans="3:15" x14ac:dyDescent="0.35">
      <c r="C49" s="1"/>
      <c r="D49" s="136" t="s">
        <v>486</v>
      </c>
      <c r="E49" s="136"/>
      <c r="F49" s="136"/>
      <c r="G49" s="136"/>
      <c r="H49" s="136"/>
      <c r="I49" s="136"/>
      <c r="J49" s="136"/>
      <c r="K49" s="136"/>
      <c r="L49" s="136"/>
    </row>
    <row r="50" spans="3:15" x14ac:dyDescent="0.35">
      <c r="C50" s="1"/>
      <c r="D50" s="136"/>
      <c r="E50" s="136"/>
      <c r="F50" s="136"/>
      <c r="G50" s="136"/>
      <c r="H50" s="136"/>
      <c r="I50" s="136"/>
      <c r="J50" s="136"/>
      <c r="K50" s="136"/>
      <c r="L50" s="136"/>
    </row>
    <row r="51" spans="3:15" x14ac:dyDescent="0.35">
      <c r="C51" s="1"/>
      <c r="D51" s="4" t="s">
        <v>110</v>
      </c>
      <c r="E51" s="126" t="s">
        <v>39</v>
      </c>
      <c r="F51" s="126"/>
      <c r="G51" s="126"/>
      <c r="H51" s="126"/>
      <c r="I51" s="126"/>
      <c r="J51" s="126"/>
      <c r="K51" s="126"/>
      <c r="L51" s="2"/>
    </row>
    <row r="52" spans="3:15" x14ac:dyDescent="0.35">
      <c r="C52" s="1"/>
      <c r="D52" s="4" t="s">
        <v>1</v>
      </c>
      <c r="E52" s="5">
        <v>2020</v>
      </c>
      <c r="F52" s="5">
        <v>2021</v>
      </c>
      <c r="G52" s="5">
        <v>2022</v>
      </c>
      <c r="H52" s="5">
        <v>2023</v>
      </c>
      <c r="I52" s="5">
        <v>2024</v>
      </c>
      <c r="J52" s="5">
        <v>2025</v>
      </c>
      <c r="K52" s="5">
        <v>2026</v>
      </c>
      <c r="L52" s="10" t="s">
        <v>4</v>
      </c>
      <c r="O52" s="61" t="s">
        <v>314</v>
      </c>
    </row>
    <row r="53" spans="3:15" x14ac:dyDescent="0.35">
      <c r="C53" s="1"/>
      <c r="D53" s="5" t="s">
        <v>4</v>
      </c>
      <c r="E53" s="21">
        <f>'E - Onerous at Dec 31, 2020'!C43</f>
        <v>0</v>
      </c>
      <c r="F53" s="21">
        <f>'E - Onerous at Dec 31, 2020'!D43</f>
        <v>8.3333333333333339</v>
      </c>
      <c r="G53" s="21">
        <f>'E - Onerous at Dec 31, 2020'!E43</f>
        <v>8.3333333333333339</v>
      </c>
      <c r="H53" s="21">
        <f>'E - Onerous at Dec 31, 2020'!F43</f>
        <v>0</v>
      </c>
      <c r="I53" s="21">
        <f>'E - Onerous at Dec 31, 2020'!G43</f>
        <v>0</v>
      </c>
      <c r="J53" s="21">
        <f>'E - Onerous at Dec 31, 2020'!H43</f>
        <v>0</v>
      </c>
      <c r="K53" s="21">
        <f>'E - Onerous at Dec 31, 2020'!I43</f>
        <v>0</v>
      </c>
      <c r="L53" s="12">
        <f>SUM(E53:K53)</f>
        <v>16.666666666666668</v>
      </c>
      <c r="O53" s="61" t="s">
        <v>313</v>
      </c>
    </row>
    <row r="54" spans="3:15" x14ac:dyDescent="0.35">
      <c r="C54" s="1"/>
    </row>
    <row r="55" spans="3:15" x14ac:dyDescent="0.35">
      <c r="C55" s="1"/>
      <c r="D55" s="136" t="s">
        <v>487</v>
      </c>
      <c r="E55" s="136"/>
      <c r="F55" s="136"/>
      <c r="G55" s="136"/>
      <c r="H55" s="136"/>
      <c r="I55" s="136"/>
      <c r="J55" s="136"/>
      <c r="K55" s="136"/>
      <c r="L55" s="136"/>
    </row>
    <row r="56" spans="3:15" x14ac:dyDescent="0.35">
      <c r="C56" s="1"/>
      <c r="D56" s="136"/>
      <c r="E56" s="136"/>
      <c r="F56" s="136"/>
      <c r="G56" s="136"/>
      <c r="H56" s="136"/>
      <c r="I56" s="136"/>
      <c r="J56" s="136"/>
      <c r="K56" s="136"/>
      <c r="L56" s="136"/>
    </row>
    <row r="57" spans="3:15" x14ac:dyDescent="0.35">
      <c r="C57" s="1"/>
      <c r="D57" s="4" t="s">
        <v>110</v>
      </c>
      <c r="E57" s="126" t="s">
        <v>39</v>
      </c>
      <c r="F57" s="126"/>
      <c r="G57" s="126"/>
      <c r="H57" s="126"/>
      <c r="I57" s="126"/>
      <c r="J57" s="126"/>
      <c r="K57" s="126"/>
      <c r="L57" s="2"/>
    </row>
    <row r="58" spans="3:15" x14ac:dyDescent="0.35">
      <c r="C58" s="1"/>
      <c r="D58" s="4" t="s">
        <v>1</v>
      </c>
      <c r="E58" s="5">
        <v>2020</v>
      </c>
      <c r="F58" s="5">
        <v>2021</v>
      </c>
      <c r="G58" s="5">
        <v>2022</v>
      </c>
      <c r="H58" s="5">
        <v>2023</v>
      </c>
      <c r="I58" s="5">
        <v>2024</v>
      </c>
      <c r="J58" s="5">
        <v>2025</v>
      </c>
      <c r="K58" s="5">
        <v>2026</v>
      </c>
      <c r="L58" s="10" t="s">
        <v>4</v>
      </c>
      <c r="O58" s="61" t="s">
        <v>315</v>
      </c>
    </row>
    <row r="59" spans="3:15" x14ac:dyDescent="0.35">
      <c r="C59" s="1"/>
      <c r="D59" s="5" t="s">
        <v>4</v>
      </c>
      <c r="E59" s="21">
        <f>-MIN(E53-E34,0)</f>
        <v>0</v>
      </c>
      <c r="F59" s="21">
        <f t="shared" ref="F59:K59" si="7">-MIN(F53-F34,0)</f>
        <v>0</v>
      </c>
      <c r="G59" s="21">
        <f>-MIN(G53-G34,0)</f>
        <v>0</v>
      </c>
      <c r="H59" s="21">
        <f t="shared" si="7"/>
        <v>7.833047628961971</v>
      </c>
      <c r="I59" s="21">
        <f t="shared" si="7"/>
        <v>5.4760676484865378</v>
      </c>
      <c r="J59" s="21">
        <f t="shared" si="7"/>
        <v>0</v>
      </c>
      <c r="K59" s="21">
        <f t="shared" si="7"/>
        <v>0</v>
      </c>
      <c r="L59" s="12">
        <f>SUM(E59:K59)</f>
        <v>13.309115277448509</v>
      </c>
      <c r="O59" s="61" t="s">
        <v>316</v>
      </c>
    </row>
    <row r="60" spans="3:15" x14ac:dyDescent="0.35">
      <c r="C60" s="1"/>
    </row>
    <row r="61" spans="3:15" x14ac:dyDescent="0.35">
      <c r="C61" s="1"/>
      <c r="D61" s="132" t="s">
        <v>488</v>
      </c>
      <c r="E61" s="132"/>
      <c r="F61" s="132"/>
      <c r="G61" s="132"/>
      <c r="H61" s="132"/>
      <c r="I61" s="132"/>
      <c r="J61" s="132"/>
      <c r="K61" s="132"/>
      <c r="L61" s="132"/>
    </row>
    <row r="62" spans="3:15" x14ac:dyDescent="0.35">
      <c r="D62" s="132"/>
      <c r="E62" s="132"/>
      <c r="F62" s="132"/>
      <c r="G62" s="132"/>
      <c r="H62" s="132"/>
      <c r="I62" s="132"/>
      <c r="J62" s="132"/>
      <c r="K62" s="132"/>
      <c r="L62" s="132"/>
    </row>
    <row r="63" spans="3:15" x14ac:dyDescent="0.35">
      <c r="D63" s="4" t="s">
        <v>110</v>
      </c>
      <c r="E63" s="126" t="s">
        <v>39</v>
      </c>
      <c r="F63" s="126"/>
      <c r="G63" s="126"/>
      <c r="H63" s="126"/>
      <c r="I63" s="126"/>
      <c r="J63" s="126"/>
      <c r="K63" s="126"/>
      <c r="L63" s="2"/>
    </row>
    <row r="64" spans="3:15" x14ac:dyDescent="0.35">
      <c r="D64" s="4" t="s">
        <v>1</v>
      </c>
      <c r="E64" s="5">
        <v>2020</v>
      </c>
      <c r="F64" s="5">
        <v>2021</v>
      </c>
      <c r="G64" s="5">
        <v>2022</v>
      </c>
      <c r="H64" s="5">
        <v>2023</v>
      </c>
      <c r="I64" s="5">
        <v>2024</v>
      </c>
      <c r="J64" s="5">
        <v>2025</v>
      </c>
      <c r="K64" s="5">
        <v>2026</v>
      </c>
      <c r="L64" s="10" t="s">
        <v>4</v>
      </c>
      <c r="O64" s="61" t="s">
        <v>318</v>
      </c>
    </row>
    <row r="65" spans="4:15" x14ac:dyDescent="0.35">
      <c r="D65" s="4">
        <f>'B - Onerous at Dec 31, 2019'!B59</f>
        <v>2020</v>
      </c>
      <c r="E65" s="25">
        <f>IF(E$53=0,0,IF(E$59&gt;0,0,((E$53-E$34)/E$53)*'E - Onerous at Dec 31, 2020'!C38))</f>
        <v>0</v>
      </c>
      <c r="F65" s="25">
        <f>IF(F$53=0,0,IF(F$59&gt;0,0,((F$53-F$34)/F$53)*'E - Onerous at Dec 31, 2020'!D38))</f>
        <v>3.8539649238105809</v>
      </c>
      <c r="G65" s="25">
        <f>IF(G$53=0,0,IF(G$59&gt;0,0,((G$53-G$34)/G$53)*'E - Onerous at Dec 31, 2020'!E38))</f>
        <v>1.236979991621741</v>
      </c>
      <c r="O65" s="61" t="s">
        <v>326</v>
      </c>
    </row>
    <row r="66" spans="4:15" x14ac:dyDescent="0.35">
      <c r="D66" s="4">
        <f>'B - Onerous at Dec 31, 2019'!B60</f>
        <v>2021</v>
      </c>
      <c r="F66" s="25">
        <f>IF(F$53=0,0,IF(F$59&gt;0,0,((F$53-F$34)/F$53)*'E - Onerous at Dec 31, 2020'!D39))</f>
        <v>0</v>
      </c>
      <c r="G66" s="25">
        <f>IF(G$53=0,0,IF(G$59&gt;0,0,((G$53-G$34)/G$53)*'E - Onerous at Dec 31, 2020'!E39))</f>
        <v>0</v>
      </c>
      <c r="H66" s="25">
        <f>IF(H$53=0,0,IF(H$59&gt;0,0,((H$53-H$34)/H$53)*'E - Onerous at Dec 31, 2020'!F39))</f>
        <v>0</v>
      </c>
      <c r="O66" s="61" t="s">
        <v>327</v>
      </c>
    </row>
    <row r="67" spans="4:15" x14ac:dyDescent="0.35">
      <c r="D67" s="4">
        <f>'B - Onerous at Dec 31, 2019'!B61</f>
        <v>2022</v>
      </c>
      <c r="O67" s="61" t="s">
        <v>489</v>
      </c>
    </row>
    <row r="68" spans="4:15" x14ac:dyDescent="0.35">
      <c r="D68" s="4">
        <f>'B - Onerous at Dec 31, 2019'!B62</f>
        <v>2023</v>
      </c>
    </row>
    <row r="69" spans="4:15" x14ac:dyDescent="0.35">
      <c r="D69" s="4">
        <f>'B - Onerous at Dec 31, 2019'!B63</f>
        <v>2024</v>
      </c>
    </row>
    <row r="70" spans="4:15" x14ac:dyDescent="0.35">
      <c r="D70" s="5" t="s">
        <v>4</v>
      </c>
      <c r="E70" s="21">
        <f>SUM(E65:E69)</f>
        <v>0</v>
      </c>
      <c r="F70" s="21">
        <f t="shared" ref="F70:K70" si="8">SUM(F65:F69)</f>
        <v>3.8539649238105809</v>
      </c>
      <c r="G70" s="21">
        <f t="shared" si="8"/>
        <v>1.236979991621741</v>
      </c>
      <c r="H70" s="21">
        <f t="shared" si="8"/>
        <v>0</v>
      </c>
      <c r="I70" s="21">
        <f t="shared" si="8"/>
        <v>0</v>
      </c>
      <c r="J70" s="21">
        <f t="shared" si="8"/>
        <v>0</v>
      </c>
      <c r="K70" s="21">
        <f t="shared" si="8"/>
        <v>0</v>
      </c>
      <c r="L70" s="12">
        <f>SUM(E70:K70)</f>
        <v>5.0909449154323223</v>
      </c>
      <c r="N70" s="30"/>
    </row>
    <row r="72" spans="4:15" x14ac:dyDescent="0.35">
      <c r="D72" s="131" t="s">
        <v>490</v>
      </c>
      <c r="E72" s="131"/>
      <c r="F72" s="131"/>
      <c r="G72" s="131"/>
      <c r="H72" s="131"/>
      <c r="I72" s="131"/>
      <c r="J72" s="131"/>
      <c r="K72" s="131"/>
      <c r="L72" s="131"/>
    </row>
    <row r="73" spans="4:15" x14ac:dyDescent="0.35">
      <c r="D73" s="131"/>
      <c r="E73" s="131"/>
      <c r="F73" s="131"/>
      <c r="G73" s="131"/>
      <c r="H73" s="131"/>
      <c r="I73" s="131"/>
      <c r="J73" s="131"/>
      <c r="K73" s="131"/>
      <c r="L73" s="131"/>
    </row>
    <row r="74" spans="4:15" x14ac:dyDescent="0.35">
      <c r="D74" s="4" t="s">
        <v>110</v>
      </c>
      <c r="E74" s="126" t="s">
        <v>39</v>
      </c>
      <c r="F74" s="126"/>
      <c r="G74" s="126"/>
      <c r="H74" s="126"/>
      <c r="I74" s="126"/>
      <c r="J74" s="126"/>
      <c r="K74" s="126"/>
      <c r="L74" s="2"/>
      <c r="O74" s="61" t="s">
        <v>323</v>
      </c>
    </row>
    <row r="75" spans="4:15" x14ac:dyDescent="0.35">
      <c r="D75" s="4" t="s">
        <v>1</v>
      </c>
      <c r="E75" s="5">
        <v>2020</v>
      </c>
      <c r="F75" s="5">
        <v>2021</v>
      </c>
      <c r="G75" s="5">
        <v>2022</v>
      </c>
      <c r="H75" s="5">
        <v>2023</v>
      </c>
      <c r="I75" s="5">
        <v>2024</v>
      </c>
      <c r="J75" s="5">
        <v>2025</v>
      </c>
      <c r="K75" s="5">
        <v>2026</v>
      </c>
      <c r="L75" s="10" t="s">
        <v>4</v>
      </c>
    </row>
    <row r="76" spans="4:15" x14ac:dyDescent="0.35">
      <c r="D76" s="4">
        <f>D65</f>
        <v>2020</v>
      </c>
      <c r="E76" s="25">
        <f>IF(E$59=0,'E - Onerous at Dec 31, 2020'!C49,('E - Onerous at Dec 31, 2020'!C$54-'F - Rec. Tests at Dec 31, 2020'!E$59)/'E - Onerous at Dec 31, 2020'!C$54*'E - Onerous at Dec 31, 2020'!C49)</f>
        <v>0</v>
      </c>
      <c r="F76" s="25">
        <f>IF(F$59=0,'E - Onerous at Dec 31, 2020'!D49,('E - Onerous at Dec 31, 2020'!D$54-'F - Rec. Tests at Dec 31, 2020'!F$59)/'E - Onerous at Dec 31, 2020'!D$54*'E - Onerous at Dec 31, 2020'!D49)</f>
        <v>1.3539257277582437</v>
      </c>
      <c r="G76" s="25">
        <f>IF(G$59=0,'E - Onerous at Dec 31, 2020'!E49,('E - Onerous at Dec 31, 2020'!E$54-'F - Rec. Tests at Dec 31, 2020'!G$59)/'E - Onerous at Dec 31, 2020'!E$54*'E - Onerous at Dec 31, 2020'!E49)</f>
        <v>0.76552487493317656</v>
      </c>
      <c r="H76" s="25">
        <f>IF(H$59=0,'E - Onerous at Dec 31, 2020'!F49,('E - Onerous at Dec 31, 2020'!F$54-'F - Rec. Tests at Dec 31, 2020'!H$59)/'E - Onerous at Dec 31, 2020'!F$54*'E - Onerous at Dec 31, 2020'!F49)</f>
        <v>3.4131824303460607E-3</v>
      </c>
      <c r="I76" s="25">
        <f>IF(I$59=0,'E - Onerous at Dec 31, 2020'!G49,('E - Onerous at Dec 31, 2020'!G$54-'F - Rec. Tests at Dec 31, 2020'!I$59)/'E - Onerous at Dec 31, 2020'!G$54*'E - Onerous at Dec 31, 2020'!G49)</f>
        <v>0.62012502575977113</v>
      </c>
      <c r="J76" s="30"/>
      <c r="K76" s="30"/>
      <c r="O76" s="61" t="s">
        <v>319</v>
      </c>
    </row>
    <row r="77" spans="4:15" x14ac:dyDescent="0.35">
      <c r="D77" s="4">
        <f>D66</f>
        <v>2021</v>
      </c>
      <c r="E77" s="25"/>
      <c r="F77" s="25">
        <f>IF(F$59=0,'E - Onerous at Dec 31, 2020'!D50,('E - Onerous at Dec 31, 2020'!D$54-'F - Rec. Tests at Dec 31, 2020'!F$59)/'E - Onerous at Dec 31, 2020'!D$54*'E - Onerous at Dec 31, 2020'!D50)</f>
        <v>1.504361919731382</v>
      </c>
      <c r="G77" s="25">
        <f>IF(G$59=0,'E - Onerous at Dec 31, 2020'!E50,('E - Onerous at Dec 31, 2020'!E$54-'F - Rec. Tests at Dec 31, 2020'!G$59)/'E - Onerous at Dec 31, 2020'!E$54*'E - Onerous at Dec 31, 2020'!E50)</f>
        <v>0.85058319437019603</v>
      </c>
      <c r="H77" s="25">
        <f>IF(H$59=0,'E - Onerous at Dec 31, 2020'!F50,('E - Onerous at Dec 31, 2020'!F$54-'F - Rec. Tests at Dec 31, 2020'!H$59)/'E - Onerous at Dec 31, 2020'!F$54*'E - Onerous at Dec 31, 2020'!F50)</f>
        <v>3.792424922606734E-3</v>
      </c>
      <c r="I77" s="25">
        <f>IF(I$59=0,'E - Onerous at Dec 31, 2020'!G50,('E - Onerous at Dec 31, 2020'!G$54-'F - Rec. Tests at Dec 31, 2020'!I$59)/'E - Onerous at Dec 31, 2020'!G$54*'E - Onerous at Dec 31, 2020'!G50)</f>
        <v>0.68902780639974559</v>
      </c>
      <c r="J77" s="30"/>
      <c r="K77" s="30"/>
      <c r="O77" s="61" t="s">
        <v>491</v>
      </c>
    </row>
    <row r="78" spans="4:15" x14ac:dyDescent="0.35">
      <c r="D78" s="4">
        <f>D67</f>
        <v>2022</v>
      </c>
      <c r="E78" s="25"/>
      <c r="F78" s="25"/>
      <c r="G78" s="25">
        <f>IF(G$59=0,'E - Onerous at Dec 31, 2020'!E51,('E - Onerous at Dec 31, 2020'!E$54-'F - Rec. Tests at Dec 31, 2020'!G$59)/'E - Onerous at Dec 31, 2020'!E$54*'E - Onerous at Dec 31, 2020'!E51)</f>
        <v>0.94509243818910693</v>
      </c>
      <c r="H78" s="25">
        <f>IF(H$59=0,'E - Onerous at Dec 31, 2020'!F51,('E - Onerous at Dec 31, 2020'!F$54-'F - Rec. Tests at Dec 31, 2020'!H$59)/'E - Onerous at Dec 31, 2020'!F$54*'E - Onerous at Dec 31, 2020'!F51)</f>
        <v>4.2138054695630379E-3</v>
      </c>
      <c r="I78" s="25">
        <f>IF(I$59=0,'E - Onerous at Dec 31, 2020'!G51,('E - Onerous at Dec 31, 2020'!G$54-'F - Rec. Tests at Dec 31, 2020'!I$59)/'E - Onerous at Dec 31, 2020'!G$54*'E - Onerous at Dec 31, 2020'!G51)</f>
        <v>0.76558645155527294</v>
      </c>
      <c r="J78" s="30"/>
      <c r="K78" s="30"/>
      <c r="O78" s="61" t="s">
        <v>322</v>
      </c>
    </row>
    <row r="79" spans="4:15" x14ac:dyDescent="0.35">
      <c r="D79" s="4">
        <f>D68</f>
        <v>2023</v>
      </c>
      <c r="E79" s="25"/>
      <c r="F79" s="25"/>
      <c r="G79" s="25"/>
      <c r="H79" s="25">
        <f>IF(H$59=0,'E - Onerous at Dec 31, 2020'!F52,('E - Onerous at Dec 31, 2020'!F$54-'F - Rec. Tests at Dec 31, 2020'!H$59)/'E - Onerous at Dec 31, 2020'!F$54*'E - Onerous at Dec 31, 2020'!F52)</f>
        <v>4.6820060772922644E-3</v>
      </c>
      <c r="I79" s="25">
        <f>IF(I$59=0,'E - Onerous at Dec 31, 2020'!G52,('E - Onerous at Dec 31, 2020'!G$54-'F - Rec. Tests at Dec 31, 2020'!I$59)/'E - Onerous at Dec 31, 2020'!G$54*'E - Onerous at Dec 31, 2020'!G52)</f>
        <v>0.85065161283919211</v>
      </c>
      <c r="J79" s="30"/>
      <c r="K79" s="30"/>
    </row>
    <row r="80" spans="4:15" x14ac:dyDescent="0.35">
      <c r="D80" s="4">
        <f>D69</f>
        <v>2024</v>
      </c>
      <c r="E80" s="25"/>
      <c r="F80" s="25"/>
      <c r="G80" s="25"/>
      <c r="H80" s="25"/>
      <c r="I80" s="25">
        <f>IF(I$59=0,'E - Onerous at Dec 31, 2020'!G53,('E - Onerous at Dec 31, 2020'!G$54-'F - Rec. Tests at Dec 31, 2020'!I$59)/'E - Onerous at Dec 31, 2020'!G$54*'E - Onerous at Dec 31, 2020'!G53)</f>
        <v>0.9451684587102136</v>
      </c>
      <c r="J80" s="30"/>
      <c r="K80" s="30"/>
    </row>
    <row r="81" spans="2:15" x14ac:dyDescent="0.35">
      <c r="D81" s="5" t="s">
        <v>4</v>
      </c>
      <c r="E81" s="21">
        <f>SUM(E76:E80)</f>
        <v>0</v>
      </c>
      <c r="F81" s="21">
        <f t="shared" ref="F81:K81" si="9">SUM(F76:F80)</f>
        <v>2.8582876474896257</v>
      </c>
      <c r="G81" s="21">
        <f t="shared" si="9"/>
        <v>2.5612005074924795</v>
      </c>
      <c r="H81" s="21">
        <f t="shared" si="9"/>
        <v>1.6101418899808099E-2</v>
      </c>
      <c r="I81" s="21">
        <f t="shared" si="9"/>
        <v>3.870559355264195</v>
      </c>
      <c r="J81" s="21">
        <f t="shared" si="9"/>
        <v>0</v>
      </c>
      <c r="K81" s="21">
        <f t="shared" si="9"/>
        <v>0</v>
      </c>
      <c r="L81" s="12">
        <f>SUM(E81:K81)</f>
        <v>9.3061489291461079</v>
      </c>
    </row>
    <row r="83" spans="2:15" x14ac:dyDescent="0.35">
      <c r="D83" s="1" t="s">
        <v>492</v>
      </c>
    </row>
    <row r="84" spans="2:15" x14ac:dyDescent="0.35">
      <c r="D84" s="4" t="s">
        <v>110</v>
      </c>
      <c r="E84" s="126" t="s">
        <v>39</v>
      </c>
      <c r="F84" s="126"/>
      <c r="G84" s="126"/>
      <c r="H84" s="126"/>
      <c r="I84" s="126"/>
      <c r="J84" s="126"/>
      <c r="K84" s="126"/>
      <c r="L84" s="2"/>
    </row>
    <row r="85" spans="2:15" x14ac:dyDescent="0.35">
      <c r="D85" s="4" t="s">
        <v>1</v>
      </c>
      <c r="E85" s="5">
        <v>2020</v>
      </c>
      <c r="F85" s="5">
        <v>2021</v>
      </c>
      <c r="G85" s="5">
        <v>2022</v>
      </c>
      <c r="H85" s="5">
        <v>2023</v>
      </c>
      <c r="I85" s="5">
        <v>2024</v>
      </c>
      <c r="J85" s="5">
        <v>2025</v>
      </c>
      <c r="K85" s="5">
        <v>2026</v>
      </c>
      <c r="L85" s="10" t="s">
        <v>4</v>
      </c>
      <c r="O85" s="61" t="s">
        <v>324</v>
      </c>
    </row>
    <row r="86" spans="2:15" x14ac:dyDescent="0.35">
      <c r="D86" s="4">
        <f>D76</f>
        <v>2020</v>
      </c>
      <c r="E86" s="25">
        <f>E65+E76</f>
        <v>0</v>
      </c>
      <c r="F86" s="25">
        <f>F65+F76</f>
        <v>5.2078906515688246</v>
      </c>
      <c r="G86" s="25">
        <f>G65+G76</f>
        <v>2.0025048665549177</v>
      </c>
      <c r="H86" s="25">
        <f>H65+H76</f>
        <v>3.4131824303460607E-3</v>
      </c>
      <c r="I86" s="25">
        <f>I65+I76</f>
        <v>0.62012502575977113</v>
      </c>
      <c r="O86" s="61" t="s">
        <v>325</v>
      </c>
    </row>
    <row r="87" spans="2:15" x14ac:dyDescent="0.35">
      <c r="D87" s="4">
        <f t="shared" ref="D87:D90" si="10">D77</f>
        <v>2021</v>
      </c>
      <c r="E87" s="25"/>
      <c r="F87" s="25">
        <f>F66+F77</f>
        <v>1.504361919731382</v>
      </c>
      <c r="G87" s="25">
        <f>G66+G77</f>
        <v>0.85058319437019603</v>
      </c>
      <c r="H87" s="25">
        <f>H66+H77</f>
        <v>3.792424922606734E-3</v>
      </c>
      <c r="I87" s="25">
        <f>I66+I77</f>
        <v>0.68902780639974559</v>
      </c>
    </row>
    <row r="88" spans="2:15" x14ac:dyDescent="0.35">
      <c r="D88" s="4">
        <f t="shared" si="10"/>
        <v>2022</v>
      </c>
      <c r="E88" s="25"/>
      <c r="F88" s="25"/>
      <c r="G88" s="25">
        <f>G67+G78</f>
        <v>0.94509243818910693</v>
      </c>
      <c r="H88" s="25">
        <f>H67+H78</f>
        <v>4.2138054695630379E-3</v>
      </c>
      <c r="I88" s="25">
        <f>I67+I78</f>
        <v>0.76558645155527294</v>
      </c>
    </row>
    <row r="89" spans="2:15" x14ac:dyDescent="0.35">
      <c r="D89" s="4">
        <f t="shared" si="10"/>
        <v>2023</v>
      </c>
      <c r="E89" s="25"/>
      <c r="F89" s="25"/>
      <c r="G89" s="25"/>
      <c r="H89" s="25">
        <f>H68+H79</f>
        <v>4.6820060772922644E-3</v>
      </c>
      <c r="I89" s="25">
        <f>I68+I79</f>
        <v>0.85065161283919211</v>
      </c>
    </row>
    <row r="90" spans="2:15" x14ac:dyDescent="0.35">
      <c r="D90" s="4">
        <f t="shared" si="10"/>
        <v>2024</v>
      </c>
      <c r="E90" s="25"/>
      <c r="F90" s="25"/>
      <c r="G90" s="25"/>
      <c r="H90" s="25"/>
      <c r="I90" s="25">
        <f>I69+I80</f>
        <v>0.9451684587102136</v>
      </c>
    </row>
    <row r="91" spans="2:15" x14ac:dyDescent="0.35">
      <c r="D91" s="5" t="s">
        <v>4</v>
      </c>
      <c r="E91" s="21">
        <f>SUM(E86:E90)</f>
        <v>0</v>
      </c>
      <c r="F91" s="21">
        <f t="shared" ref="F91:K91" si="11">SUM(F86:F90)</f>
        <v>6.7122525713002066</v>
      </c>
      <c r="G91" s="21">
        <f t="shared" si="11"/>
        <v>3.7981804991142205</v>
      </c>
      <c r="H91" s="21">
        <f t="shared" si="11"/>
        <v>1.6101418899808099E-2</v>
      </c>
      <c r="I91" s="21">
        <f t="shared" si="11"/>
        <v>3.870559355264195</v>
      </c>
      <c r="J91" s="21">
        <f t="shared" si="11"/>
        <v>0</v>
      </c>
      <c r="K91" s="21">
        <f t="shared" si="11"/>
        <v>0</v>
      </c>
      <c r="L91" s="12">
        <f>SUM(E91:K91)</f>
        <v>14.39709384457843</v>
      </c>
    </row>
    <row r="92" spans="2:15" s="28" customFormat="1" x14ac:dyDescent="0.35">
      <c r="O92" s="63"/>
    </row>
    <row r="93" spans="2:15" x14ac:dyDescent="0.35">
      <c r="B93" s="1" t="s">
        <v>57</v>
      </c>
    </row>
    <row r="95" spans="2:15" x14ac:dyDescent="0.35">
      <c r="B95" s="34" t="s">
        <v>58</v>
      </c>
    </row>
    <row r="96" spans="2:15" x14ac:dyDescent="0.35">
      <c r="B96" s="34"/>
    </row>
    <row r="97" spans="2:15" x14ac:dyDescent="0.35">
      <c r="B97" t="s">
        <v>493</v>
      </c>
    </row>
    <row r="98" spans="2:15" x14ac:dyDescent="0.35">
      <c r="B98" t="s">
        <v>80</v>
      </c>
    </row>
    <row r="99" spans="2:15" x14ac:dyDescent="0.35">
      <c r="B99" t="s">
        <v>59</v>
      </c>
      <c r="E99" s="16">
        <f>'A - Base data at Dec 31, 2019'!D23</f>
        <v>0.75</v>
      </c>
      <c r="F99" t="s">
        <v>60</v>
      </c>
    </row>
    <row r="100" spans="2:15" x14ac:dyDescent="0.35">
      <c r="B100" t="s">
        <v>82</v>
      </c>
      <c r="E100" s="16"/>
    </row>
    <row r="101" spans="2:15" x14ac:dyDescent="0.35">
      <c r="B101" t="str">
        <f>"Also, IFRS 17 Group 2021 is not a renewal for original issue year "&amp;D87&amp;"."</f>
        <v>Also, IFRS 17 Group 2021 is not a renewal for original issue year 2021.</v>
      </c>
      <c r="E101" s="16"/>
    </row>
    <row r="103" spans="2:15" x14ac:dyDescent="0.35">
      <c r="B103" s="1" t="s">
        <v>494</v>
      </c>
    </row>
    <row r="105" spans="2:15" x14ac:dyDescent="0.35">
      <c r="B105" s="1" t="s">
        <v>161</v>
      </c>
    </row>
    <row r="106" spans="2:15" x14ac:dyDescent="0.35">
      <c r="B106" s="96" t="str">
        <f>"Original issue year "&amp;D86</f>
        <v>Original issue year 2020</v>
      </c>
      <c r="C106" s="79"/>
      <c r="D106" s="79"/>
      <c r="E106" s="137" t="s">
        <v>0</v>
      </c>
      <c r="F106" s="137"/>
      <c r="G106" s="137"/>
      <c r="H106" s="137"/>
      <c r="I106" s="138"/>
    </row>
    <row r="107" spans="2:15" x14ac:dyDescent="0.35">
      <c r="B107" s="80"/>
      <c r="C107" s="46"/>
      <c r="D107" s="46"/>
      <c r="E107" s="81">
        <v>2020</v>
      </c>
      <c r="F107" s="81">
        <v>2021</v>
      </c>
      <c r="G107" s="81">
        <v>2022</v>
      </c>
      <c r="H107" s="81">
        <v>2023</v>
      </c>
      <c r="I107" s="82" t="s">
        <v>4</v>
      </c>
      <c r="O107" s="61" t="s">
        <v>161</v>
      </c>
    </row>
    <row r="108" spans="2:15" x14ac:dyDescent="0.35">
      <c r="B108" s="83" t="s">
        <v>409</v>
      </c>
      <c r="C108" s="84"/>
      <c r="D108" s="84"/>
      <c r="E108" s="85"/>
      <c r="F108" s="85">
        <f>IF(I113=0,0,'D - Base data at Dec 31, 2020'!O163)</f>
        <v>7.1268564811422053</v>
      </c>
      <c r="G108" s="85">
        <f>IF(G113=0,0,'D - Base data at Dec 31, 2020'!P163)</f>
        <v>5.9390470676185068</v>
      </c>
      <c r="H108" s="85"/>
      <c r="I108" s="86">
        <f>SUM(F108:H108)</f>
        <v>13.065903548760712</v>
      </c>
      <c r="O108" s="61" t="s">
        <v>495</v>
      </c>
    </row>
    <row r="109" spans="2:15" x14ac:dyDescent="0.35">
      <c r="B109" s="83" t="s">
        <v>81</v>
      </c>
      <c r="C109" s="84"/>
      <c r="D109" s="84"/>
      <c r="E109" s="85"/>
      <c r="F109" s="85">
        <f>IF(I113=0,0,(1-$E$99)*F65+F76)</f>
        <v>2.317416958710889</v>
      </c>
      <c r="G109" s="85">
        <f>IF(G113=0,0,(1-$E$99)*G65+G76)</f>
        <v>1.0747698728386119</v>
      </c>
      <c r="H109" s="85"/>
      <c r="I109" s="86">
        <f t="shared" ref="I109:I114" si="12">SUM(F109:H109)</f>
        <v>3.392186831549501</v>
      </c>
      <c r="O109" s="61" t="s">
        <v>496</v>
      </c>
    </row>
    <row r="110" spans="2:15" x14ac:dyDescent="0.35">
      <c r="B110" s="87" t="s">
        <v>73</v>
      </c>
      <c r="C110" s="27"/>
      <c r="D110" s="27"/>
      <c r="E110" s="31"/>
      <c r="F110" s="31">
        <v>0</v>
      </c>
      <c r="G110" s="31">
        <v>0</v>
      </c>
      <c r="H110" s="31"/>
      <c r="I110" s="88">
        <f t="shared" si="12"/>
        <v>0</v>
      </c>
      <c r="O110" s="61" t="s">
        <v>334</v>
      </c>
    </row>
    <row r="111" spans="2:15" x14ac:dyDescent="0.35">
      <c r="B111" s="83" t="s">
        <v>61</v>
      </c>
      <c r="C111" s="84"/>
      <c r="D111" s="84"/>
      <c r="E111" s="85"/>
      <c r="F111" s="85">
        <f>F108-F110-F109</f>
        <v>4.8094395224313162</v>
      </c>
      <c r="G111" s="85">
        <f>G108-G110-G109</f>
        <v>4.8642771947798948</v>
      </c>
      <c r="H111" s="85"/>
      <c r="I111" s="86">
        <f t="shared" si="12"/>
        <v>9.6737167172112102</v>
      </c>
      <c r="O111" s="61" t="s">
        <v>328</v>
      </c>
    </row>
    <row r="112" spans="2:15" x14ac:dyDescent="0.35">
      <c r="B112" s="83"/>
      <c r="C112" s="84"/>
      <c r="D112" s="84"/>
      <c r="E112" s="89"/>
      <c r="F112" s="89"/>
      <c r="G112" s="89"/>
      <c r="H112" s="89"/>
      <c r="I112" s="90"/>
    </row>
    <row r="113" spans="2:15" x14ac:dyDescent="0.35">
      <c r="B113" s="83" t="s">
        <v>79</v>
      </c>
      <c r="C113" s="84"/>
      <c r="D113" s="84"/>
      <c r="E113" s="33"/>
      <c r="F113" s="33">
        <f>F65*$E$99</f>
        <v>2.8904736928579355</v>
      </c>
      <c r="G113" s="33">
        <f>G65*$E$99</f>
        <v>0.92773499371630574</v>
      </c>
      <c r="H113" s="33"/>
      <c r="I113" s="91">
        <f t="shared" si="12"/>
        <v>3.8182086865742413</v>
      </c>
      <c r="O113" s="61" t="s">
        <v>497</v>
      </c>
    </row>
    <row r="114" spans="2:15" x14ac:dyDescent="0.35">
      <c r="B114" s="92" t="s">
        <v>51</v>
      </c>
      <c r="C114" s="26"/>
      <c r="D114" s="26"/>
      <c r="E114" s="33"/>
      <c r="F114" s="102">
        <f>F111-F113</f>
        <v>1.9189658295733807</v>
      </c>
      <c r="G114" s="102">
        <f>G111-G113</f>
        <v>3.9365422010635891</v>
      </c>
      <c r="H114" s="33"/>
      <c r="I114" s="109">
        <f t="shared" si="12"/>
        <v>5.8555080306369698</v>
      </c>
      <c r="J114" s="17" t="str">
        <f>IF(I113=0,"",IF(I114&gt;=0,"Pass","Fail"))</f>
        <v>Pass</v>
      </c>
      <c r="O114" s="61" t="s">
        <v>329</v>
      </c>
    </row>
    <row r="115" spans="2:15" x14ac:dyDescent="0.35">
      <c r="B115" s="97"/>
      <c r="C115" s="36"/>
      <c r="D115" s="36"/>
      <c r="E115" s="36"/>
      <c r="F115" s="36"/>
      <c r="G115" s="36"/>
      <c r="H115" s="36"/>
      <c r="I115" s="98"/>
    </row>
    <row r="116" spans="2:15" x14ac:dyDescent="0.35">
      <c r="B116" s="95" t="s">
        <v>208</v>
      </c>
      <c r="C116" s="32"/>
      <c r="D116" s="32"/>
      <c r="E116" s="32"/>
      <c r="F116" s="33">
        <f>IF(OR($J$114="Pass",$J$114=""),0,F113*$I$116/$I$113)</f>
        <v>0</v>
      </c>
      <c r="G116" s="33">
        <f>IF(OR($J$114="Pass",$J$114=""),0,G113*$I$116/$I$113)</f>
        <v>0</v>
      </c>
      <c r="H116" s="33"/>
      <c r="I116" s="91">
        <f>IF(OR($J$114="Pass",$J$114=""),0,-MAX($I$114,-$I$113))</f>
        <v>0</v>
      </c>
      <c r="O116" s="61" t="s">
        <v>330</v>
      </c>
    </row>
    <row r="117" spans="2:15" x14ac:dyDescent="0.35">
      <c r="B117" s="35"/>
      <c r="C117" s="46"/>
      <c r="D117" s="46"/>
      <c r="E117" s="46"/>
      <c r="F117" s="47"/>
      <c r="G117" s="47"/>
      <c r="H117" s="47"/>
      <c r="I117" s="47"/>
      <c r="O117" s="61" t="s">
        <v>427</v>
      </c>
    </row>
    <row r="118" spans="2:15" x14ac:dyDescent="0.35">
      <c r="B118" s="110" t="s">
        <v>162</v>
      </c>
      <c r="C118" s="46"/>
      <c r="D118" s="46"/>
      <c r="E118" s="46"/>
      <c r="F118" s="47"/>
      <c r="G118" s="47"/>
      <c r="H118" s="47"/>
      <c r="I118" s="47"/>
    </row>
    <row r="119" spans="2:15" x14ac:dyDescent="0.35">
      <c r="B119" s="96" t="str">
        <f>"Original issue year "&amp;D87</f>
        <v>Original issue year 2021</v>
      </c>
      <c r="C119" s="79"/>
      <c r="D119" s="79"/>
      <c r="E119" s="137" t="s">
        <v>0</v>
      </c>
      <c r="F119" s="137"/>
      <c r="G119" s="137"/>
      <c r="H119" s="137"/>
      <c r="I119" s="138"/>
    </row>
    <row r="120" spans="2:15" x14ac:dyDescent="0.35">
      <c r="B120" s="80"/>
      <c r="C120" s="46"/>
      <c r="D120" s="46"/>
      <c r="E120" s="81">
        <v>2020</v>
      </c>
      <c r="F120" s="81">
        <v>2021</v>
      </c>
      <c r="G120" s="81">
        <v>2022</v>
      </c>
      <c r="H120" s="81">
        <v>2023</v>
      </c>
      <c r="I120" s="82" t="s">
        <v>4</v>
      </c>
      <c r="O120" s="61" t="s">
        <v>162</v>
      </c>
    </row>
    <row r="121" spans="2:15" x14ac:dyDescent="0.35">
      <c r="B121" s="83" t="s">
        <v>409</v>
      </c>
      <c r="C121" s="84"/>
      <c r="D121" s="84"/>
      <c r="E121" s="85"/>
      <c r="F121" s="85"/>
      <c r="G121" s="85">
        <f>IF(I126=0,0,'D - Base data at Dec 31, 2020'!P164)</f>
        <v>0</v>
      </c>
      <c r="H121" s="85">
        <f>IF(H126=0,0,'D - Base data at Dec 31, 2020'!Q164)</f>
        <v>0</v>
      </c>
      <c r="I121" s="86">
        <f>SUM(F121:H121)</f>
        <v>0</v>
      </c>
      <c r="O121" s="61" t="s">
        <v>498</v>
      </c>
    </row>
    <row r="122" spans="2:15" x14ac:dyDescent="0.35">
      <c r="B122" s="83" t="s">
        <v>81</v>
      </c>
      <c r="C122" s="84"/>
      <c r="D122" s="84"/>
      <c r="E122" s="85"/>
      <c r="F122" s="85"/>
      <c r="G122" s="85">
        <f>IF(I126=0,0,(1-$E$99)*G66+G77)</f>
        <v>0</v>
      </c>
      <c r="H122" s="85">
        <f>IF(H126=0,0,(1-$E$99)*H66+H77)</f>
        <v>0</v>
      </c>
      <c r="I122" s="86">
        <f t="shared" ref="I122:I124" si="13">SUM(F122:H122)</f>
        <v>0</v>
      </c>
      <c r="O122" s="61" t="s">
        <v>499</v>
      </c>
    </row>
    <row r="123" spans="2:15" x14ac:dyDescent="0.35">
      <c r="B123" s="87" t="s">
        <v>73</v>
      </c>
      <c r="C123" s="27"/>
      <c r="D123" s="27"/>
      <c r="E123" s="31"/>
      <c r="F123" s="31"/>
      <c r="G123" s="31">
        <f>IF(I126=0,0,IF('A - Base data at Dec 31, 2019'!$F$11=0,0,'D - Base data at Dec 31, 2020'!P133))</f>
        <v>0</v>
      </c>
      <c r="H123" s="31">
        <f>IF(H126=0,0,IF('A - Base data at Dec 31, 2019'!$F$11=0,0,'D - Base data at Dec 31, 2020'!Q133))</f>
        <v>0</v>
      </c>
      <c r="I123" s="88">
        <f t="shared" si="13"/>
        <v>0</v>
      </c>
      <c r="O123" s="61" t="s">
        <v>500</v>
      </c>
    </row>
    <row r="124" spans="2:15" x14ac:dyDescent="0.35">
      <c r="B124" s="83" t="s">
        <v>61</v>
      </c>
      <c r="C124" s="84"/>
      <c r="D124" s="84"/>
      <c r="E124" s="85"/>
      <c r="F124" s="85"/>
      <c r="G124" s="85">
        <f>G121-G123-G122</f>
        <v>0</v>
      </c>
      <c r="H124" s="85">
        <f>H121-H123-H122</f>
        <v>0</v>
      </c>
      <c r="I124" s="86">
        <f t="shared" si="13"/>
        <v>0</v>
      </c>
      <c r="O124" s="61" t="s">
        <v>331</v>
      </c>
    </row>
    <row r="125" spans="2:15" x14ac:dyDescent="0.35">
      <c r="B125" s="83"/>
      <c r="C125" s="84"/>
      <c r="D125" s="84"/>
      <c r="E125" s="89"/>
      <c r="F125" s="89"/>
      <c r="G125" s="89"/>
      <c r="H125" s="89"/>
      <c r="I125" s="90"/>
    </row>
    <row r="126" spans="2:15" x14ac:dyDescent="0.35">
      <c r="B126" s="83" t="s">
        <v>79</v>
      </c>
      <c r="C126" s="84"/>
      <c r="D126" s="84"/>
      <c r="E126" s="33"/>
      <c r="F126" s="33"/>
      <c r="G126" s="33">
        <f>G66*$E$99</f>
        <v>0</v>
      </c>
      <c r="H126" s="33">
        <f>H66*$E$99</f>
        <v>0</v>
      </c>
      <c r="I126" s="91">
        <f t="shared" ref="I126" si="14">SUM(F126:H126)</f>
        <v>0</v>
      </c>
      <c r="O126" s="61" t="s">
        <v>497</v>
      </c>
    </row>
    <row r="127" spans="2:15" x14ac:dyDescent="0.35">
      <c r="B127" s="92" t="s">
        <v>51</v>
      </c>
      <c r="C127" s="26"/>
      <c r="D127" s="26"/>
      <c r="E127" s="33"/>
      <c r="F127" s="33"/>
      <c r="G127" s="33">
        <f>G124-G126</f>
        <v>0</v>
      </c>
      <c r="H127" s="33">
        <f t="shared" ref="H127:I127" si="15">H124-H126</f>
        <v>0</v>
      </c>
      <c r="I127" s="91">
        <f t="shared" si="15"/>
        <v>0</v>
      </c>
      <c r="J127" s="17" t="str">
        <f>IF(I126=0,"",IF(I127&gt;=0,"Pass","Fail"))</f>
        <v/>
      </c>
      <c r="O127" s="61" t="s">
        <v>332</v>
      </c>
    </row>
    <row r="128" spans="2:15" x14ac:dyDescent="0.35">
      <c r="B128" s="97"/>
      <c r="C128" s="36"/>
      <c r="D128" s="36"/>
      <c r="E128" s="36"/>
      <c r="F128" s="36"/>
      <c r="G128" s="36"/>
      <c r="H128" s="36"/>
      <c r="I128" s="98"/>
    </row>
    <row r="129" spans="2:15" x14ac:dyDescent="0.35">
      <c r="B129" s="95" t="s">
        <v>208</v>
      </c>
      <c r="C129" s="32"/>
      <c r="D129" s="32"/>
      <c r="E129" s="32"/>
      <c r="F129" s="33"/>
      <c r="G129" s="33">
        <f>IF(OR($J$127="Pass",$J$127=""),0,G126*$I$129/$I$126)</f>
        <v>0</v>
      </c>
      <c r="H129" s="33">
        <f>IF(OR($J$127="Pass",$J$127=""),0,H126*$I$129/$I$126)</f>
        <v>0</v>
      </c>
      <c r="I129" s="91">
        <f>IF(OR($J$127="Pass",$J$127=""),0,-MAX($I$127,-$I$126))</f>
        <v>0</v>
      </c>
      <c r="O129" s="61" t="s">
        <v>333</v>
      </c>
    </row>
    <row r="130" spans="2:15" x14ac:dyDescent="0.35">
      <c r="B130" s="35"/>
      <c r="C130" s="46"/>
      <c r="D130" s="46"/>
      <c r="E130" s="46"/>
      <c r="F130" s="47"/>
      <c r="G130" s="47"/>
      <c r="H130" s="47"/>
      <c r="I130" s="47"/>
      <c r="O130" s="61" t="s">
        <v>501</v>
      </c>
    </row>
    <row r="131" spans="2:15" s="28" customFormat="1" x14ac:dyDescent="0.35">
      <c r="O131" s="63"/>
    </row>
    <row r="132" spans="2:15" x14ac:dyDescent="0.35">
      <c r="B132" s="34" t="s">
        <v>52</v>
      </c>
    </row>
    <row r="134" spans="2:15" x14ac:dyDescent="0.35">
      <c r="D134" s="131" t="s">
        <v>502</v>
      </c>
      <c r="E134" s="131"/>
      <c r="F134" s="131"/>
      <c r="G134" s="131"/>
      <c r="H134" s="131"/>
      <c r="I134" s="131"/>
      <c r="J134" s="131"/>
      <c r="K134" s="131"/>
      <c r="L134" s="131"/>
    </row>
    <row r="135" spans="2:15" x14ac:dyDescent="0.35">
      <c r="D135" s="131"/>
      <c r="E135" s="131"/>
      <c r="F135" s="131"/>
      <c r="G135" s="131"/>
      <c r="H135" s="131"/>
      <c r="I135" s="131"/>
      <c r="J135" s="131"/>
      <c r="K135" s="131"/>
      <c r="L135" s="131"/>
    </row>
    <row r="136" spans="2:15" x14ac:dyDescent="0.35">
      <c r="D136" s="4" t="s">
        <v>110</v>
      </c>
      <c r="E136" s="126" t="s">
        <v>39</v>
      </c>
      <c r="F136" s="126"/>
      <c r="G136" s="126"/>
      <c r="H136" s="126"/>
      <c r="I136" s="126"/>
      <c r="J136" s="126"/>
      <c r="K136" s="126"/>
      <c r="L136" s="2"/>
    </row>
    <row r="137" spans="2:15" x14ac:dyDescent="0.35">
      <c r="D137" s="4" t="s">
        <v>1</v>
      </c>
      <c r="E137" s="5">
        <v>2020</v>
      </c>
      <c r="F137" s="5">
        <v>2021</v>
      </c>
      <c r="G137" s="5">
        <v>2022</v>
      </c>
      <c r="H137" s="5">
        <v>2023</v>
      </c>
      <c r="I137" s="5">
        <v>2024</v>
      </c>
      <c r="J137" s="5">
        <v>2025</v>
      </c>
      <c r="K137" s="5">
        <v>2026</v>
      </c>
      <c r="L137" s="10" t="s">
        <v>4</v>
      </c>
      <c r="O137" s="61" t="s">
        <v>335</v>
      </c>
    </row>
    <row r="138" spans="2:15" x14ac:dyDescent="0.35">
      <c r="D138" s="4">
        <f>D86</f>
        <v>2020</v>
      </c>
      <c r="E138" s="25">
        <f>E65-E116</f>
        <v>0</v>
      </c>
      <c r="F138" s="25">
        <f t="shared" ref="F138:G138" si="16">F65-F116</f>
        <v>3.8539649238105809</v>
      </c>
      <c r="G138" s="25">
        <f t="shared" si="16"/>
        <v>1.236979991621741</v>
      </c>
      <c r="O138" s="61" t="s">
        <v>340</v>
      </c>
    </row>
    <row r="139" spans="2:15" x14ac:dyDescent="0.35">
      <c r="D139" s="4">
        <f>D87</f>
        <v>2021</v>
      </c>
      <c r="F139" s="25">
        <f>F66-F129</f>
        <v>0</v>
      </c>
      <c r="G139" s="25">
        <f t="shared" ref="G139:H139" si="17">G66-G129</f>
        <v>0</v>
      </c>
      <c r="H139" s="25">
        <f t="shared" si="17"/>
        <v>0</v>
      </c>
      <c r="O139" s="61" t="s">
        <v>503</v>
      </c>
    </row>
    <row r="140" spans="2:15" x14ac:dyDescent="0.35">
      <c r="D140" s="4">
        <f>D88</f>
        <v>2022</v>
      </c>
    </row>
    <row r="141" spans="2:15" x14ac:dyDescent="0.35">
      <c r="D141" s="4">
        <f>D89</f>
        <v>2023</v>
      </c>
    </row>
    <row r="142" spans="2:15" x14ac:dyDescent="0.35">
      <c r="D142" s="4">
        <f>D90</f>
        <v>2024</v>
      </c>
    </row>
    <row r="143" spans="2:15" x14ac:dyDescent="0.35">
      <c r="D143" s="5" t="s">
        <v>4</v>
      </c>
      <c r="E143" s="21">
        <f>SUM(E138:E142)</f>
        <v>0</v>
      </c>
      <c r="F143" s="21">
        <f>SUM(F138:F142)</f>
        <v>3.8539649238105809</v>
      </c>
      <c r="G143" s="21">
        <f>SUM(G138:G142)</f>
        <v>1.236979991621741</v>
      </c>
      <c r="H143" s="21">
        <f t="shared" ref="H143:K143" si="18">SUM(H138:H142)</f>
        <v>0</v>
      </c>
      <c r="I143" s="21">
        <f t="shared" si="18"/>
        <v>0</v>
      </c>
      <c r="J143" s="21">
        <f t="shared" si="18"/>
        <v>0</v>
      </c>
      <c r="K143" s="21">
        <f t="shared" si="18"/>
        <v>0</v>
      </c>
      <c r="L143" s="12">
        <f>SUM(E143:K143)</f>
        <v>5.0909449154323223</v>
      </c>
    </row>
    <row r="145" spans="4:15" x14ac:dyDescent="0.35">
      <c r="D145" s="131" t="s">
        <v>504</v>
      </c>
      <c r="E145" s="131"/>
      <c r="F145" s="131"/>
      <c r="G145" s="131"/>
      <c r="H145" s="131"/>
      <c r="I145" s="131"/>
      <c r="J145" s="131"/>
      <c r="K145" s="131"/>
      <c r="L145" s="131"/>
    </row>
    <row r="146" spans="4:15" x14ac:dyDescent="0.35">
      <c r="D146" s="131"/>
      <c r="E146" s="131"/>
      <c r="F146" s="131"/>
      <c r="G146" s="131"/>
      <c r="H146" s="131"/>
      <c r="I146" s="131"/>
      <c r="J146" s="131"/>
      <c r="K146" s="131"/>
      <c r="L146" s="131"/>
      <c r="O146" s="61" t="s">
        <v>336</v>
      </c>
    </row>
    <row r="147" spans="4:15" x14ac:dyDescent="0.35">
      <c r="D147" s="4" t="s">
        <v>110</v>
      </c>
      <c r="E147" s="126" t="s">
        <v>39</v>
      </c>
      <c r="F147" s="126"/>
      <c r="G147" s="126"/>
      <c r="H147" s="126"/>
      <c r="I147" s="126"/>
      <c r="J147" s="126"/>
      <c r="K147" s="126"/>
      <c r="L147" s="2"/>
      <c r="O147" s="61" t="s">
        <v>339</v>
      </c>
    </row>
    <row r="148" spans="4:15" x14ac:dyDescent="0.35">
      <c r="D148" s="4" t="s">
        <v>1</v>
      </c>
      <c r="E148" s="5">
        <v>2020</v>
      </c>
      <c r="F148" s="5">
        <v>2021</v>
      </c>
      <c r="G148" s="5">
        <v>2022</v>
      </c>
      <c r="H148" s="5">
        <v>2023</v>
      </c>
      <c r="I148" s="5">
        <v>2024</v>
      </c>
      <c r="J148" s="5">
        <v>2025</v>
      </c>
      <c r="K148" s="5">
        <v>2026</v>
      </c>
      <c r="L148" s="10" t="s">
        <v>4</v>
      </c>
      <c r="O148" s="61" t="s">
        <v>227</v>
      </c>
    </row>
    <row r="149" spans="4:15" x14ac:dyDescent="0.35">
      <c r="D149" s="4">
        <f>D138</f>
        <v>2020</v>
      </c>
      <c r="E149" s="25">
        <f>E76</f>
        <v>0</v>
      </c>
      <c r="F149" s="25">
        <f>F76</f>
        <v>1.3539257277582437</v>
      </c>
      <c r="G149" s="25">
        <f>G76</f>
        <v>0.76552487493317656</v>
      </c>
      <c r="H149" s="25">
        <f>H76</f>
        <v>3.4131824303460607E-3</v>
      </c>
      <c r="I149" s="25">
        <f>I76</f>
        <v>0.62012502575977113</v>
      </c>
      <c r="J149" s="30"/>
      <c r="K149" s="30"/>
    </row>
    <row r="150" spans="4:15" x14ac:dyDescent="0.35">
      <c r="D150" s="4">
        <f>D139</f>
        <v>2021</v>
      </c>
      <c r="E150" s="25"/>
      <c r="F150" s="25">
        <f>F77</f>
        <v>1.504361919731382</v>
      </c>
      <c r="G150" s="25">
        <f>G77</f>
        <v>0.85058319437019603</v>
      </c>
      <c r="H150" s="25">
        <f>H77</f>
        <v>3.792424922606734E-3</v>
      </c>
      <c r="I150" s="25">
        <f>I77</f>
        <v>0.68902780639974559</v>
      </c>
      <c r="J150" s="30"/>
      <c r="K150" s="30"/>
    </row>
    <row r="151" spans="4:15" x14ac:dyDescent="0.35">
      <c r="D151" s="4">
        <f>D140</f>
        <v>2022</v>
      </c>
      <c r="E151" s="25"/>
      <c r="F151" s="25"/>
      <c r="G151" s="25">
        <f>G78</f>
        <v>0.94509243818910693</v>
      </c>
      <c r="H151" s="25">
        <f>H78</f>
        <v>4.2138054695630379E-3</v>
      </c>
      <c r="I151" s="25">
        <f>I78</f>
        <v>0.76558645155527294</v>
      </c>
      <c r="J151" s="30"/>
      <c r="K151" s="30"/>
    </row>
    <row r="152" spans="4:15" x14ac:dyDescent="0.35">
      <c r="D152" s="4">
        <f>D141</f>
        <v>2023</v>
      </c>
      <c r="E152" s="25"/>
      <c r="F152" s="25"/>
      <c r="G152" s="25"/>
      <c r="H152" s="25">
        <f>H79</f>
        <v>4.6820060772922644E-3</v>
      </c>
      <c r="I152" s="25">
        <f>I79</f>
        <v>0.85065161283919211</v>
      </c>
      <c r="J152" s="30"/>
      <c r="K152" s="30"/>
    </row>
    <row r="153" spans="4:15" x14ac:dyDescent="0.35">
      <c r="D153" s="4">
        <f>D142</f>
        <v>2024</v>
      </c>
      <c r="E153" s="25"/>
      <c r="F153" s="25"/>
      <c r="G153" s="25"/>
      <c r="H153" s="25"/>
      <c r="I153" s="25">
        <f>I80</f>
        <v>0.9451684587102136</v>
      </c>
      <c r="J153" s="30"/>
      <c r="K153" s="30"/>
    </row>
    <row r="154" spans="4:15" x14ac:dyDescent="0.35">
      <c r="D154" s="5" t="s">
        <v>4</v>
      </c>
      <c r="E154" s="21">
        <f>SUM(E149:E153)</f>
        <v>0</v>
      </c>
      <c r="F154" s="21">
        <f t="shared" ref="F154:K154" si="19">SUM(F149:F153)</f>
        <v>2.8582876474896257</v>
      </c>
      <c r="G154" s="21">
        <f t="shared" si="19"/>
        <v>2.5612005074924795</v>
      </c>
      <c r="H154" s="21">
        <f t="shared" si="19"/>
        <v>1.6101418899808099E-2</v>
      </c>
      <c r="I154" s="21">
        <f t="shared" si="19"/>
        <v>3.870559355264195</v>
      </c>
      <c r="J154" s="21">
        <f t="shared" si="19"/>
        <v>0</v>
      </c>
      <c r="K154" s="21">
        <f t="shared" si="19"/>
        <v>0</v>
      </c>
      <c r="L154" s="12">
        <f>SUM(E154:K154)</f>
        <v>9.3061489291461079</v>
      </c>
    </row>
    <row r="156" spans="4:15" x14ac:dyDescent="0.35">
      <c r="D156" s="1" t="s">
        <v>505</v>
      </c>
    </row>
    <row r="157" spans="4:15" x14ac:dyDescent="0.35">
      <c r="D157" s="4" t="s">
        <v>110</v>
      </c>
      <c r="E157" s="126" t="s">
        <v>39</v>
      </c>
      <c r="F157" s="126"/>
      <c r="G157" s="126"/>
      <c r="H157" s="126"/>
      <c r="I157" s="126"/>
      <c r="J157" s="126"/>
      <c r="K157" s="126"/>
      <c r="L157" s="2"/>
    </row>
    <row r="158" spans="4:15" x14ac:dyDescent="0.35">
      <c r="D158" s="4" t="s">
        <v>1</v>
      </c>
      <c r="E158" s="5">
        <v>2020</v>
      </c>
      <c r="F158" s="5">
        <v>2021</v>
      </c>
      <c r="G158" s="5">
        <v>2022</v>
      </c>
      <c r="H158" s="5">
        <v>2023</v>
      </c>
      <c r="I158" s="5">
        <v>2024</v>
      </c>
      <c r="J158" s="5">
        <v>2025</v>
      </c>
      <c r="K158" s="5">
        <v>2026</v>
      </c>
      <c r="L158" s="10" t="s">
        <v>4</v>
      </c>
      <c r="O158" s="61" t="s">
        <v>337</v>
      </c>
    </row>
    <row r="159" spans="4:15" x14ac:dyDescent="0.35">
      <c r="D159" s="4">
        <f>D149</f>
        <v>2020</v>
      </c>
      <c r="E159" s="25">
        <f>E138+E149</f>
        <v>0</v>
      </c>
      <c r="F159" s="25">
        <f t="shared" ref="F159:I163" si="20">F138+F149</f>
        <v>5.2078906515688246</v>
      </c>
      <c r="G159" s="25">
        <f t="shared" si="20"/>
        <v>2.0025048665549177</v>
      </c>
      <c r="H159" s="25">
        <f t="shared" si="20"/>
        <v>3.4131824303460607E-3</v>
      </c>
      <c r="I159" s="25">
        <f t="shared" si="20"/>
        <v>0.62012502575977113</v>
      </c>
      <c r="O159" s="61" t="s">
        <v>338</v>
      </c>
    </row>
    <row r="160" spans="4:15" x14ac:dyDescent="0.35">
      <c r="D160" s="4">
        <f t="shared" ref="D160:D163" si="21">D150</f>
        <v>2021</v>
      </c>
      <c r="E160" s="25"/>
      <c r="F160" s="25">
        <f t="shared" si="20"/>
        <v>1.504361919731382</v>
      </c>
      <c r="G160" s="25">
        <f t="shared" si="20"/>
        <v>0.85058319437019603</v>
      </c>
      <c r="H160" s="25">
        <f t="shared" si="20"/>
        <v>3.792424922606734E-3</v>
      </c>
      <c r="I160" s="25">
        <f t="shared" si="20"/>
        <v>0.68902780639974559</v>
      </c>
    </row>
    <row r="161" spans="4:12" x14ac:dyDescent="0.35">
      <c r="D161" s="4">
        <f t="shared" si="21"/>
        <v>2022</v>
      </c>
      <c r="E161" s="25"/>
      <c r="F161" s="25"/>
      <c r="G161" s="25">
        <f t="shared" si="20"/>
        <v>0.94509243818910693</v>
      </c>
      <c r="H161" s="25">
        <f t="shared" si="20"/>
        <v>4.2138054695630379E-3</v>
      </c>
      <c r="I161" s="25">
        <f t="shared" si="20"/>
        <v>0.76558645155527294</v>
      </c>
    </row>
    <row r="162" spans="4:12" x14ac:dyDescent="0.35">
      <c r="D162" s="4">
        <f t="shared" si="21"/>
        <v>2023</v>
      </c>
      <c r="E162" s="25"/>
      <c r="F162" s="25"/>
      <c r="G162" s="25"/>
      <c r="H162" s="25">
        <f t="shared" si="20"/>
        <v>4.6820060772922644E-3</v>
      </c>
      <c r="I162" s="25">
        <f t="shared" si="20"/>
        <v>0.85065161283919211</v>
      </c>
    </row>
    <row r="163" spans="4:12" x14ac:dyDescent="0.35">
      <c r="D163" s="4">
        <f t="shared" si="21"/>
        <v>2024</v>
      </c>
      <c r="E163" s="25"/>
      <c r="F163" s="25"/>
      <c r="G163" s="25"/>
      <c r="H163" s="25"/>
      <c r="I163" s="25">
        <f t="shared" si="20"/>
        <v>0.9451684587102136</v>
      </c>
    </row>
    <row r="164" spans="4:12" x14ac:dyDescent="0.35">
      <c r="D164" s="5" t="s">
        <v>4</v>
      </c>
      <c r="E164" s="21">
        <f>SUM(E159:E163)</f>
        <v>0</v>
      </c>
      <c r="F164" s="21">
        <f t="shared" ref="F164:K164" si="22">SUM(F159:F163)</f>
        <v>6.7122525713002066</v>
      </c>
      <c r="G164" s="21">
        <f t="shared" si="22"/>
        <v>3.7981804991142205</v>
      </c>
      <c r="H164" s="21">
        <f t="shared" si="22"/>
        <v>1.6101418899808099E-2</v>
      </c>
      <c r="I164" s="21">
        <f t="shared" si="22"/>
        <v>3.870559355264195</v>
      </c>
      <c r="J164" s="21">
        <f t="shared" si="22"/>
        <v>0</v>
      </c>
      <c r="K164" s="21">
        <f t="shared" si="22"/>
        <v>0</v>
      </c>
      <c r="L164" s="12">
        <f>SUM(E164:K164)</f>
        <v>14.39709384457843</v>
      </c>
    </row>
  </sheetData>
  <mergeCells count="21">
    <mergeCell ref="E84:K84"/>
    <mergeCell ref="E136:K136"/>
    <mergeCell ref="E147:K147"/>
    <mergeCell ref="E157:K157"/>
    <mergeCell ref="E51:K51"/>
    <mergeCell ref="E106:I106"/>
    <mergeCell ref="E119:I119"/>
    <mergeCell ref="E74:K74"/>
    <mergeCell ref="D72:L73"/>
    <mergeCell ref="D134:L135"/>
    <mergeCell ref="D145:L146"/>
    <mergeCell ref="E13:K13"/>
    <mergeCell ref="E28:K28"/>
    <mergeCell ref="E39:K39"/>
    <mergeCell ref="E63:K63"/>
    <mergeCell ref="E57:K57"/>
    <mergeCell ref="E27:L27"/>
    <mergeCell ref="E38:L38"/>
    <mergeCell ref="D49:L50"/>
    <mergeCell ref="D55:L56"/>
    <mergeCell ref="D61:L62"/>
  </mergeCells>
  <conditionalFormatting sqref="C5">
    <cfRule type="notContainsText" dxfId="3" priority="2" operator="notContains" text="no">
      <formula>ISERROR(SEARCH("no",C5))</formula>
    </cfRule>
    <cfRule type="containsText" dxfId="2" priority="4" operator="containsText" text="no">
      <formula>NOT(ISERROR(SEARCH("no",C5)))</formula>
    </cfRule>
  </conditionalFormatting>
  <conditionalFormatting sqref="E5">
    <cfRule type="notContainsText" dxfId="1" priority="1" operator="notContains" text="not">
      <formula>ISERROR(SEARCH("not",E5))</formula>
    </cfRule>
    <cfRule type="containsText" dxfId="0" priority="3" operator="containsText" text="not">
      <formula>NOT(ISERROR(SEARCH("not",E5)))</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0 - Inputs and Results</vt:lpstr>
      <vt:lpstr>A - Base data at Dec 31, 2019</vt:lpstr>
      <vt:lpstr>B - Onerous at Dec 31, 2019</vt:lpstr>
      <vt:lpstr>C - Rec. Tests at Dec 31, 2019</vt:lpstr>
      <vt:lpstr>D - Base data at Dec 31, 2020</vt:lpstr>
      <vt:lpstr>E - Onerous at Dec 31, 2020</vt:lpstr>
      <vt:lpstr>F - Rec. Tests at Dec 31,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Seguin Simon</dc:creator>
  <cp:lastModifiedBy>Josee Racette</cp:lastModifiedBy>
  <dcterms:created xsi:type="dcterms:W3CDTF">2022-01-01T18:29:52Z</dcterms:created>
  <dcterms:modified xsi:type="dcterms:W3CDTF">2022-03-03T19:29:24Z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694e0f-943f-4e6f-bf55-6e34fbc91307_Enabled">
    <vt:lpwstr>true</vt:lpwstr>
  </property>
  <property fmtid="{D5CDD505-2E9C-101B-9397-08002B2CF9AE}" pid="3" name="MSIP_Label_a9694e0f-943f-4e6f-bf55-6e34fbc91307_SetDate">
    <vt:lpwstr>2022-01-01T18:29:53Z</vt:lpwstr>
  </property>
  <property fmtid="{D5CDD505-2E9C-101B-9397-08002B2CF9AE}" pid="4" name="MSIP_Label_a9694e0f-943f-4e6f-bf55-6e34fbc91307_Method">
    <vt:lpwstr>Standard</vt:lpwstr>
  </property>
  <property fmtid="{D5CDD505-2E9C-101B-9397-08002B2CF9AE}" pid="5" name="MSIP_Label_a9694e0f-943f-4e6f-bf55-6e34fbc91307_Name">
    <vt:lpwstr>Usage interne</vt:lpwstr>
  </property>
  <property fmtid="{D5CDD505-2E9C-101B-9397-08002B2CF9AE}" pid="6" name="MSIP_Label_a9694e0f-943f-4e6f-bf55-6e34fbc91307_SiteId">
    <vt:lpwstr>728d20a5-0b44-47dd-9470-20f37cbf2d9a</vt:lpwstr>
  </property>
  <property fmtid="{D5CDD505-2E9C-101B-9397-08002B2CF9AE}" pid="7" name="MSIP_Label_a9694e0f-943f-4e6f-bf55-6e34fbc91307_ActionId">
    <vt:lpwstr>7347a23e-7bff-4a71-a125-a6c3bf020197</vt:lpwstr>
  </property>
  <property fmtid="{D5CDD505-2E9C-101B-9397-08002B2CF9AE}" pid="8" name="MSIP_Label_a9694e0f-943f-4e6f-bf55-6e34fbc91307_ContentBits">
    <vt:lpwstr>0</vt:lpwstr>
  </property>
  <property fmtid="{D5CDD505-2E9C-101B-9397-08002B2CF9AE}" pid="9" name="Classification">
    <vt:lpwstr>TT_Public</vt:lpwstr>
  </property>
</Properties>
</file>